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1805" tabRatio="920" activeTab="7"/>
  </bookViews>
  <sheets>
    <sheet name="4.1" sheetId="1" r:id="rId1"/>
    <sheet name="4.2" sheetId="16" r:id="rId2"/>
    <sheet name="4.3" sheetId="17" r:id="rId3"/>
    <sheet name="4.4" sheetId="18" r:id="rId4"/>
    <sheet name="4.5" sheetId="19" r:id="rId5"/>
    <sheet name="4.6" sheetId="20" r:id="rId6"/>
    <sheet name="4.7" sheetId="21" r:id="rId7"/>
    <sheet name="4.8" sheetId="22" r:id="rId8"/>
    <sheet name="4.9" sheetId="23" r:id="rId9"/>
    <sheet name="4.10" sheetId="24" r:id="rId10"/>
    <sheet name="上旬汇总" sheetId="46" r:id="rId11"/>
    <sheet name="4.11" sheetId="25" r:id="rId12"/>
    <sheet name="4.12" sheetId="26" r:id="rId13"/>
    <sheet name="4.13" sheetId="27" r:id="rId14"/>
    <sheet name="4.14" sheetId="28" r:id="rId15"/>
    <sheet name="4.15" sheetId="29" r:id="rId16"/>
    <sheet name="4.16" sheetId="30" r:id="rId17"/>
    <sheet name="4.17" sheetId="31" r:id="rId18"/>
    <sheet name="4.18" sheetId="32" r:id="rId19"/>
    <sheet name="4.19" sheetId="33" r:id="rId20"/>
    <sheet name="4.20" sheetId="34" r:id="rId21"/>
    <sheet name="中旬汇总" sheetId="47" r:id="rId22"/>
    <sheet name="4.21" sheetId="35" r:id="rId23"/>
    <sheet name="4.22" sheetId="36" r:id="rId24"/>
    <sheet name="4.23" sheetId="37" r:id="rId25"/>
    <sheet name="4.24" sheetId="38" r:id="rId26"/>
    <sheet name="4.25" sheetId="39" r:id="rId27"/>
    <sheet name="4.26" sheetId="40" r:id="rId28"/>
    <sheet name="4.27" sheetId="41" r:id="rId29"/>
    <sheet name="4.28" sheetId="42" r:id="rId30"/>
    <sheet name="4.29" sheetId="43" r:id="rId31"/>
    <sheet name="4.30" sheetId="44" r:id="rId32"/>
    <sheet name="4.31" sheetId="45" state="hidden" r:id="rId33"/>
    <sheet name="下旬汇总" sheetId="48" r:id="rId34"/>
    <sheet name="月汇总" sheetId="49" r:id="rId35"/>
    <sheet name="销售简报" sheetId="51" r:id="rId36"/>
    <sheet name="Sheet1" sheetId="50" r:id="rId37"/>
  </sheets>
  <externalReferences>
    <externalReference r:id="rId38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51"/>
  <c r="J36"/>
  <c r="I36"/>
  <c r="H36"/>
  <c r="G36"/>
  <c r="F36"/>
  <c r="E36"/>
  <c r="D36"/>
  <c r="C36"/>
  <c r="B36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N29" i="49"/>
  <c r="AS26"/>
  <c r="AR26"/>
  <c r="AQ26"/>
  <c r="AP26"/>
  <c r="AO26"/>
  <c r="AM26"/>
  <c r="W26"/>
  <c r="V26"/>
  <c r="U26"/>
  <c r="T26"/>
  <c r="S26"/>
  <c r="Q26"/>
  <c r="O26"/>
  <c r="N26"/>
  <c r="M26"/>
  <c r="L26"/>
  <c r="K26"/>
  <c r="H26"/>
  <c r="F26"/>
  <c r="E26"/>
  <c r="D26"/>
  <c r="C26"/>
  <c r="V25"/>
  <c r="T25"/>
  <c r="S25"/>
  <c r="N25"/>
  <c r="M25"/>
  <c r="L25"/>
  <c r="K25"/>
  <c r="H25"/>
  <c r="F25"/>
  <c r="E25"/>
  <c r="AS24"/>
  <c r="AR24"/>
  <c r="AQ24"/>
  <c r="AP24"/>
  <c r="AO24"/>
  <c r="AM24"/>
  <c r="V24"/>
  <c r="T24"/>
  <c r="S24"/>
  <c r="N24"/>
  <c r="M24"/>
  <c r="L24"/>
  <c r="K24"/>
  <c r="H24"/>
  <c r="F24"/>
  <c r="E24"/>
  <c r="W23"/>
  <c r="V23"/>
  <c r="U23"/>
  <c r="T23"/>
  <c r="S23"/>
  <c r="Q23"/>
  <c r="O23"/>
  <c r="N23"/>
  <c r="M23"/>
  <c r="L23"/>
  <c r="K23"/>
  <c r="H23"/>
  <c r="F23"/>
  <c r="E23"/>
  <c r="C23"/>
  <c r="AS22"/>
  <c r="AR22"/>
  <c r="AQ22"/>
  <c r="AP22"/>
  <c r="AO22"/>
  <c r="AM22"/>
  <c r="T22"/>
  <c r="S22"/>
  <c r="N22"/>
  <c r="M22"/>
  <c r="L22"/>
  <c r="K22"/>
  <c r="H22"/>
  <c r="F22"/>
  <c r="E22"/>
  <c r="T21"/>
  <c r="S21"/>
  <c r="N21"/>
  <c r="M21"/>
  <c r="L21"/>
  <c r="K21"/>
  <c r="H21"/>
  <c r="F21"/>
  <c r="E21"/>
  <c r="AS20"/>
  <c r="AR20"/>
  <c r="AQ20"/>
  <c r="AP20"/>
  <c r="AO20"/>
  <c r="AM20"/>
  <c r="T20"/>
  <c r="S20"/>
  <c r="N20"/>
  <c r="M20"/>
  <c r="L20"/>
  <c r="K20"/>
  <c r="H20"/>
  <c r="F20"/>
  <c r="E20"/>
  <c r="W19"/>
  <c r="V19"/>
  <c r="U19"/>
  <c r="T19"/>
  <c r="S19"/>
  <c r="Q19"/>
  <c r="O19"/>
  <c r="N19"/>
  <c r="M19"/>
  <c r="L19"/>
  <c r="K19"/>
  <c r="H19"/>
  <c r="F19"/>
  <c r="E19"/>
  <c r="C19"/>
  <c r="AS18"/>
  <c r="AR18"/>
  <c r="AQ18"/>
  <c r="AP18"/>
  <c r="AO18"/>
  <c r="AN18"/>
  <c r="AM18"/>
  <c r="AS16"/>
  <c r="AR16"/>
  <c r="AQ16"/>
  <c r="AP16"/>
  <c r="AO16"/>
  <c r="AN16"/>
  <c r="AM16"/>
  <c r="AS14"/>
  <c r="AR14"/>
  <c r="AQ14"/>
  <c r="AP14"/>
  <c r="AO14"/>
  <c r="AN14"/>
  <c r="AM14"/>
  <c r="AL14"/>
  <c r="AK14"/>
  <c r="AJ14"/>
  <c r="AI14"/>
  <c r="AH14"/>
  <c r="AG14"/>
  <c r="W14"/>
  <c r="U14"/>
  <c r="T14"/>
  <c r="S14"/>
  <c r="R14"/>
  <c r="AA13"/>
  <c r="U13"/>
  <c r="T13"/>
  <c r="S13"/>
  <c r="R13"/>
  <c r="P13"/>
  <c r="L13"/>
  <c r="C13"/>
  <c r="AS12"/>
  <c r="AR12"/>
  <c r="AQ12"/>
  <c r="AP12"/>
  <c r="AO12"/>
  <c r="AN12"/>
  <c r="AM12"/>
  <c r="AK12"/>
  <c r="AJ12"/>
  <c r="AI12"/>
  <c r="AH12"/>
  <c r="AG12"/>
  <c r="U12"/>
  <c r="T12"/>
  <c r="S12"/>
  <c r="R12"/>
  <c r="P12"/>
  <c r="J12"/>
  <c r="I12"/>
  <c r="H12"/>
  <c r="AA11"/>
  <c r="U11"/>
  <c r="T11"/>
  <c r="S11"/>
  <c r="R11"/>
  <c r="P11"/>
  <c r="L11"/>
  <c r="K11"/>
  <c r="J11"/>
  <c r="I11"/>
  <c r="H11"/>
  <c r="C11"/>
  <c r="B11"/>
  <c r="A11"/>
  <c r="AS10"/>
  <c r="AR10"/>
  <c r="AQ10"/>
  <c r="AP10"/>
  <c r="AO10"/>
  <c r="AN10"/>
  <c r="AM10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R8"/>
  <c r="AQ8"/>
  <c r="AP8"/>
  <c r="AO8"/>
  <c r="AN8"/>
  <c r="AM8"/>
  <c r="AL8"/>
  <c r="AE8"/>
  <c r="AD8"/>
  <c r="AC8"/>
  <c r="AA8"/>
  <c r="Y8"/>
  <c r="X8"/>
  <c r="M8"/>
  <c r="K8"/>
  <c r="I8"/>
  <c r="G8"/>
  <c r="F8"/>
  <c r="E8"/>
  <c r="D8"/>
  <c r="C8"/>
  <c r="AL7"/>
  <c r="AE7"/>
  <c r="AD7"/>
  <c r="AC7"/>
  <c r="Y7"/>
  <c r="W7"/>
  <c r="M7"/>
  <c r="K7"/>
  <c r="I7"/>
  <c r="G7"/>
  <c r="F7"/>
  <c r="E7"/>
  <c r="D7"/>
  <c r="C7"/>
  <c r="AS6"/>
  <c r="AR6"/>
  <c r="AQ6"/>
  <c r="AP6"/>
  <c r="AO6"/>
  <c r="AN6"/>
  <c r="AM6"/>
  <c r="AL6"/>
  <c r="AK6"/>
  <c r="AJ6"/>
  <c r="AI6"/>
  <c r="AH6"/>
  <c r="AG6"/>
  <c r="AE6"/>
  <c r="AD6"/>
  <c r="AC6"/>
  <c r="AA6"/>
  <c r="Y6"/>
  <c r="X6"/>
  <c r="T6"/>
  <c r="S6"/>
  <c r="R6"/>
  <c r="O6"/>
  <c r="N6"/>
  <c r="M6"/>
  <c r="K6"/>
  <c r="J6"/>
  <c r="I6"/>
  <c r="H6"/>
  <c r="G6"/>
  <c r="F6"/>
  <c r="E6"/>
  <c r="D6"/>
  <c r="C6"/>
  <c r="AS26" i="48"/>
  <c r="AR26"/>
  <c r="AQ26"/>
  <c r="AP26"/>
  <c r="AO26"/>
  <c r="AM26"/>
  <c r="W26"/>
  <c r="V26"/>
  <c r="U26"/>
  <c r="T26"/>
  <c r="S26"/>
  <c r="Q26"/>
  <c r="O26"/>
  <c r="N26"/>
  <c r="M26"/>
  <c r="L26"/>
  <c r="K26"/>
  <c r="H26"/>
  <c r="F26"/>
  <c r="E26"/>
  <c r="D26"/>
  <c r="C26"/>
  <c r="W25"/>
  <c r="V25"/>
  <c r="T25"/>
  <c r="S25"/>
  <c r="N25"/>
  <c r="M25"/>
  <c r="L25"/>
  <c r="K25"/>
  <c r="H25"/>
  <c r="F25"/>
  <c r="E25"/>
  <c r="AS24"/>
  <c r="AR24"/>
  <c r="AQ24"/>
  <c r="AP24"/>
  <c r="AO24"/>
  <c r="AM24"/>
  <c r="W24"/>
  <c r="V24"/>
  <c r="T24"/>
  <c r="S24"/>
  <c r="N24"/>
  <c r="M24"/>
  <c r="L24"/>
  <c r="K24"/>
  <c r="H24"/>
  <c r="F24"/>
  <c r="E24"/>
  <c r="W23"/>
  <c r="V23"/>
  <c r="U23"/>
  <c r="T23"/>
  <c r="S23"/>
  <c r="Q23"/>
  <c r="O23"/>
  <c r="N23"/>
  <c r="M23"/>
  <c r="L23"/>
  <c r="K23"/>
  <c r="H23"/>
  <c r="F23"/>
  <c r="E23"/>
  <c r="C23"/>
  <c r="AS22"/>
  <c r="AR22"/>
  <c r="AQ22"/>
  <c r="AP22"/>
  <c r="AO22"/>
  <c r="AM22"/>
  <c r="W22"/>
  <c r="T22"/>
  <c r="S22"/>
  <c r="N22"/>
  <c r="M22"/>
  <c r="L22"/>
  <c r="K22"/>
  <c r="H22"/>
  <c r="F22"/>
  <c r="E22"/>
  <c r="W21"/>
  <c r="T21"/>
  <c r="S21"/>
  <c r="N21"/>
  <c r="M21"/>
  <c r="L21"/>
  <c r="K21"/>
  <c r="H21"/>
  <c r="F21"/>
  <c r="E21"/>
  <c r="AS20"/>
  <c r="AR20"/>
  <c r="AQ20"/>
  <c r="AP20"/>
  <c r="AO20"/>
  <c r="AM20"/>
  <c r="W20"/>
  <c r="T20"/>
  <c r="S20"/>
  <c r="N20"/>
  <c r="M20"/>
  <c r="L20"/>
  <c r="K20"/>
  <c r="H20"/>
  <c r="F20"/>
  <c r="E20"/>
  <c r="W19"/>
  <c r="V19"/>
  <c r="U19"/>
  <c r="T19"/>
  <c r="S19"/>
  <c r="Q19"/>
  <c r="O19"/>
  <c r="N19"/>
  <c r="M19"/>
  <c r="L19"/>
  <c r="K19"/>
  <c r="H19"/>
  <c r="F19"/>
  <c r="E19"/>
  <c r="C19"/>
  <c r="AS18"/>
  <c r="AR18"/>
  <c r="AQ18"/>
  <c r="AP18"/>
  <c r="AO18"/>
  <c r="AN18"/>
  <c r="AM18"/>
  <c r="AS16"/>
  <c r="AR16"/>
  <c r="AQ16"/>
  <c r="AP16"/>
  <c r="AO16"/>
  <c r="AN16"/>
  <c r="AM16"/>
  <c r="AS14"/>
  <c r="AR14"/>
  <c r="AQ14"/>
  <c r="AP14"/>
  <c r="AO14"/>
  <c r="AN14"/>
  <c r="AM14"/>
  <c r="AL14"/>
  <c r="AK14"/>
  <c r="AJ14"/>
  <c r="AI14"/>
  <c r="AH14"/>
  <c r="AG14"/>
  <c r="W14"/>
  <c r="U14"/>
  <c r="T14"/>
  <c r="S14"/>
  <c r="R14"/>
  <c r="AA13"/>
  <c r="U13"/>
  <c r="T13"/>
  <c r="S13"/>
  <c r="R13"/>
  <c r="P13"/>
  <c r="L13"/>
  <c r="C13"/>
  <c r="AS12"/>
  <c r="AR12"/>
  <c r="AQ12"/>
  <c r="AP12"/>
  <c r="AO12"/>
  <c r="AN12"/>
  <c r="AM12"/>
  <c r="AK12"/>
  <c r="AJ12"/>
  <c r="AI12"/>
  <c r="AH12"/>
  <c r="AG12"/>
  <c r="U12"/>
  <c r="T12"/>
  <c r="S12"/>
  <c r="R12"/>
  <c r="P12"/>
  <c r="J12"/>
  <c r="I12"/>
  <c r="H12"/>
  <c r="AA11"/>
  <c r="U11"/>
  <c r="T11"/>
  <c r="S11"/>
  <c r="R11"/>
  <c r="P11"/>
  <c r="L11"/>
  <c r="K11"/>
  <c r="J11"/>
  <c r="I11"/>
  <c r="H11"/>
  <c r="C11"/>
  <c r="B11"/>
  <c r="A11"/>
  <c r="AS10"/>
  <c r="AR10"/>
  <c r="AQ10"/>
  <c r="AP10"/>
  <c r="AO10"/>
  <c r="AN10"/>
  <c r="AM10"/>
  <c r="AL9"/>
  <c r="AK9"/>
  <c r="AJ9"/>
  <c r="AI9"/>
  <c r="AH9"/>
  <c r="AG9"/>
  <c r="AF9"/>
  <c r="AE9"/>
  <c r="AD9"/>
  <c r="AC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R8"/>
  <c r="AQ8"/>
  <c r="AP8"/>
  <c r="AO8"/>
  <c r="AN8"/>
  <c r="AM8"/>
  <c r="AL8"/>
  <c r="AE8"/>
  <c r="AD8"/>
  <c r="AC8"/>
  <c r="AA8"/>
  <c r="Y8"/>
  <c r="X8"/>
  <c r="M8"/>
  <c r="K8"/>
  <c r="I8"/>
  <c r="G8"/>
  <c r="F8"/>
  <c r="E8"/>
  <c r="D8"/>
  <c r="C8"/>
  <c r="AL7"/>
  <c r="AE7"/>
  <c r="AD7"/>
  <c r="AC7"/>
  <c r="Y7"/>
  <c r="W7"/>
  <c r="M7"/>
  <c r="K7"/>
  <c r="I7"/>
  <c r="G7"/>
  <c r="F7"/>
  <c r="E7"/>
  <c r="D7"/>
  <c r="C7"/>
  <c r="AS6"/>
  <c r="AR6"/>
  <c r="AQ6"/>
  <c r="AP6"/>
  <c r="AO6"/>
  <c r="AN6"/>
  <c r="AM6"/>
  <c r="AL6"/>
  <c r="AK6"/>
  <c r="AJ6"/>
  <c r="AI6"/>
  <c r="AH6"/>
  <c r="AG6"/>
  <c r="AE6"/>
  <c r="AD6"/>
  <c r="AC6"/>
  <c r="AA6"/>
  <c r="Y6"/>
  <c r="X6"/>
  <c r="T6"/>
  <c r="S6"/>
  <c r="R6"/>
  <c r="O6"/>
  <c r="N6"/>
  <c r="M6"/>
  <c r="K6"/>
  <c r="J6"/>
  <c r="I6"/>
  <c r="H6"/>
  <c r="G6"/>
  <c r="F6"/>
  <c r="E6"/>
  <c r="D6"/>
  <c r="C6"/>
  <c r="AS26" i="45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W14"/>
  <c r="AA13"/>
  <c r="C13"/>
  <c r="AS12"/>
  <c r="AQ12"/>
  <c r="AN12"/>
  <c r="AM12"/>
  <c r="AK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4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3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2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1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0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9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8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7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6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5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7"/>
  <c r="AR26"/>
  <c r="AQ26"/>
  <c r="AP26"/>
  <c r="AO26"/>
  <c r="AM26"/>
  <c r="W26"/>
  <c r="V26"/>
  <c r="U26"/>
  <c r="T26"/>
  <c r="S26"/>
  <c r="Q26"/>
  <c r="O26"/>
  <c r="N26"/>
  <c r="M26"/>
  <c r="L26"/>
  <c r="K26"/>
  <c r="H26"/>
  <c r="F26"/>
  <c r="E26"/>
  <c r="D26"/>
  <c r="C26"/>
  <c r="V25"/>
  <c r="T25"/>
  <c r="S25"/>
  <c r="N25"/>
  <c r="M25"/>
  <c r="L25"/>
  <c r="K25"/>
  <c r="H25"/>
  <c r="F25"/>
  <c r="E25"/>
  <c r="AS24"/>
  <c r="AR24"/>
  <c r="AQ24"/>
  <c r="AP24"/>
  <c r="AO24"/>
  <c r="AM24"/>
  <c r="V24"/>
  <c r="T24"/>
  <c r="S24"/>
  <c r="N24"/>
  <c r="M24"/>
  <c r="L24"/>
  <c r="K24"/>
  <c r="H24"/>
  <c r="F24"/>
  <c r="E24"/>
  <c r="W23"/>
  <c r="V23"/>
  <c r="U23"/>
  <c r="T23"/>
  <c r="S23"/>
  <c r="Q23"/>
  <c r="O23"/>
  <c r="N23"/>
  <c r="M23"/>
  <c r="L23"/>
  <c r="K23"/>
  <c r="H23"/>
  <c r="F23"/>
  <c r="E23"/>
  <c r="C23"/>
  <c r="AS22"/>
  <c r="AR22"/>
  <c r="AQ22"/>
  <c r="AP22"/>
  <c r="AO22"/>
  <c r="AM22"/>
  <c r="T22"/>
  <c r="S22"/>
  <c r="N22"/>
  <c r="M22"/>
  <c r="L22"/>
  <c r="K22"/>
  <c r="H22"/>
  <c r="F22"/>
  <c r="E22"/>
  <c r="T21"/>
  <c r="S21"/>
  <c r="N21"/>
  <c r="M21"/>
  <c r="L21"/>
  <c r="K21"/>
  <c r="H21"/>
  <c r="F21"/>
  <c r="E21"/>
  <c r="AS20"/>
  <c r="AR20"/>
  <c r="AQ20"/>
  <c r="AP20"/>
  <c r="AO20"/>
  <c r="AM20"/>
  <c r="T20"/>
  <c r="S20"/>
  <c r="N20"/>
  <c r="M20"/>
  <c r="L20"/>
  <c r="K20"/>
  <c r="H20"/>
  <c r="F20"/>
  <c r="E20"/>
  <c r="W19"/>
  <c r="V19"/>
  <c r="U19"/>
  <c r="T19"/>
  <c r="S19"/>
  <c r="Q19"/>
  <c r="O19"/>
  <c r="N19"/>
  <c r="M19"/>
  <c r="L19"/>
  <c r="K19"/>
  <c r="H19"/>
  <c r="F19"/>
  <c r="E19"/>
  <c r="C19"/>
  <c r="AS18"/>
  <c r="AR18"/>
  <c r="AQ18"/>
  <c r="AP18"/>
  <c r="AO18"/>
  <c r="AN18"/>
  <c r="AM18"/>
  <c r="AS16"/>
  <c r="AR16"/>
  <c r="AQ16"/>
  <c r="AP16"/>
  <c r="AO16"/>
  <c r="AN16"/>
  <c r="AM16"/>
  <c r="AS14"/>
  <c r="AR14"/>
  <c r="AQ14"/>
  <c r="AP14"/>
  <c r="AO14"/>
  <c r="AN14"/>
  <c r="AM14"/>
  <c r="AL14"/>
  <c r="AK14"/>
  <c r="AJ14"/>
  <c r="AI14"/>
  <c r="AH14"/>
  <c r="AG14"/>
  <c r="W14"/>
  <c r="U14"/>
  <c r="T14"/>
  <c r="S14"/>
  <c r="R14"/>
  <c r="AA13"/>
  <c r="U13"/>
  <c r="T13"/>
  <c r="S13"/>
  <c r="R13"/>
  <c r="P13"/>
  <c r="L13"/>
  <c r="C13"/>
  <c r="AS12"/>
  <c r="AR12"/>
  <c r="AQ12"/>
  <c r="AP12"/>
  <c r="AO12"/>
  <c r="AN12"/>
  <c r="AM12"/>
  <c r="AK12"/>
  <c r="AJ12"/>
  <c r="AI12"/>
  <c r="AH12"/>
  <c r="AG12"/>
  <c r="U12"/>
  <c r="T12"/>
  <c r="S12"/>
  <c r="R12"/>
  <c r="P12"/>
  <c r="J12"/>
  <c r="I12"/>
  <c r="H12"/>
  <c r="AA11"/>
  <c r="U11"/>
  <c r="T11"/>
  <c r="S11"/>
  <c r="R11"/>
  <c r="P11"/>
  <c r="L11"/>
  <c r="K11"/>
  <c r="J11"/>
  <c r="I11"/>
  <c r="H11"/>
  <c r="C11"/>
  <c r="B11"/>
  <c r="A11"/>
  <c r="AS10"/>
  <c r="AR10"/>
  <c r="AQ10"/>
  <c r="AP10"/>
  <c r="AO10"/>
  <c r="AN10"/>
  <c r="AM10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R8"/>
  <c r="AQ8"/>
  <c r="AP8"/>
  <c r="AO8"/>
  <c r="AN8"/>
  <c r="AM8"/>
  <c r="AL8"/>
  <c r="AE8"/>
  <c r="AD8"/>
  <c r="AC8"/>
  <c r="AA8"/>
  <c r="Y8"/>
  <c r="X8"/>
  <c r="M8"/>
  <c r="K8"/>
  <c r="I8"/>
  <c r="G8"/>
  <c r="F8"/>
  <c r="E8"/>
  <c r="D8"/>
  <c r="C8"/>
  <c r="AL7"/>
  <c r="AE7"/>
  <c r="AD7"/>
  <c r="AC7"/>
  <c r="Y7"/>
  <c r="W7"/>
  <c r="M7"/>
  <c r="K7"/>
  <c r="I7"/>
  <c r="G7"/>
  <c r="F7"/>
  <c r="E7"/>
  <c r="D7"/>
  <c r="C7"/>
  <c r="AS6"/>
  <c r="AR6"/>
  <c r="AQ6"/>
  <c r="AP6"/>
  <c r="AO6"/>
  <c r="AN6"/>
  <c r="AM6"/>
  <c r="AL6"/>
  <c r="AK6"/>
  <c r="AJ6"/>
  <c r="AI6"/>
  <c r="AH6"/>
  <c r="AG6"/>
  <c r="AE6"/>
  <c r="AD6"/>
  <c r="AC6"/>
  <c r="AA6"/>
  <c r="Y6"/>
  <c r="X6"/>
  <c r="T6"/>
  <c r="S6"/>
  <c r="R6"/>
  <c r="O6"/>
  <c r="N6"/>
  <c r="M6"/>
  <c r="K6"/>
  <c r="J6"/>
  <c r="I6"/>
  <c r="H6"/>
  <c r="G6"/>
  <c r="F6"/>
  <c r="E6"/>
  <c r="D6"/>
  <c r="C6"/>
  <c r="AS26" i="34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3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C18"/>
  <c r="C17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2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1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30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9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8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7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6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5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46"/>
  <c r="AR26"/>
  <c r="AQ26"/>
  <c r="AP26"/>
  <c r="AO26"/>
  <c r="AM26"/>
  <c r="W26"/>
  <c r="V26"/>
  <c r="U26"/>
  <c r="T26"/>
  <c r="S26"/>
  <c r="Q26"/>
  <c r="O26"/>
  <c r="N26"/>
  <c r="M26"/>
  <c r="L26"/>
  <c r="K26"/>
  <c r="H26"/>
  <c r="F26"/>
  <c r="E26"/>
  <c r="D26"/>
  <c r="C26"/>
  <c r="V25"/>
  <c r="T25"/>
  <c r="S25"/>
  <c r="N25"/>
  <c r="M25"/>
  <c r="L25"/>
  <c r="K25"/>
  <c r="H25"/>
  <c r="AS24"/>
  <c r="AR24"/>
  <c r="AQ24"/>
  <c r="AP24"/>
  <c r="AO24"/>
  <c r="AM24"/>
  <c r="V24"/>
  <c r="T24"/>
  <c r="S24"/>
  <c r="N24"/>
  <c r="M24"/>
  <c r="L24"/>
  <c r="K24"/>
  <c r="H24"/>
  <c r="W23"/>
  <c r="V23"/>
  <c r="U23"/>
  <c r="T23"/>
  <c r="S23"/>
  <c r="Q23"/>
  <c r="O23"/>
  <c r="N23"/>
  <c r="M23"/>
  <c r="L23"/>
  <c r="K23"/>
  <c r="H23"/>
  <c r="E23"/>
  <c r="C23"/>
  <c r="AS22"/>
  <c r="AR22"/>
  <c r="AQ22"/>
  <c r="AP22"/>
  <c r="AO22"/>
  <c r="AM22"/>
  <c r="T22"/>
  <c r="S22"/>
  <c r="N22"/>
  <c r="M22"/>
  <c r="L22"/>
  <c r="K22"/>
  <c r="H22"/>
  <c r="T21"/>
  <c r="S21"/>
  <c r="N21"/>
  <c r="M21"/>
  <c r="L21"/>
  <c r="K21"/>
  <c r="H21"/>
  <c r="AS20"/>
  <c r="AR20"/>
  <c r="AQ20"/>
  <c r="AP20"/>
  <c r="AO20"/>
  <c r="AM20"/>
  <c r="T20"/>
  <c r="S20"/>
  <c r="N20"/>
  <c r="M20"/>
  <c r="L20"/>
  <c r="K20"/>
  <c r="H20"/>
  <c r="W19"/>
  <c r="V19"/>
  <c r="U19"/>
  <c r="T19"/>
  <c r="S19"/>
  <c r="Q19"/>
  <c r="O19"/>
  <c r="N19"/>
  <c r="M19"/>
  <c r="L19"/>
  <c r="K19"/>
  <c r="H19"/>
  <c r="E19"/>
  <c r="C19"/>
  <c r="AS18"/>
  <c r="AR18"/>
  <c r="AQ18"/>
  <c r="AP18"/>
  <c r="AO18"/>
  <c r="AN18"/>
  <c r="AM18"/>
  <c r="AS16"/>
  <c r="AR16"/>
  <c r="AQ16"/>
  <c r="AP16"/>
  <c r="AO16"/>
  <c r="AN16"/>
  <c r="AM16"/>
  <c r="AS14"/>
  <c r="AR14"/>
  <c r="AQ14"/>
  <c r="AP14"/>
  <c r="AO14"/>
  <c r="AN14"/>
  <c r="AM14"/>
  <c r="AL14"/>
  <c r="AK14"/>
  <c r="AJ14"/>
  <c r="AI14"/>
  <c r="AH14"/>
  <c r="AG14"/>
  <c r="W14"/>
  <c r="U14"/>
  <c r="T14"/>
  <c r="S14"/>
  <c r="R14"/>
  <c r="AA13"/>
  <c r="U13"/>
  <c r="T13"/>
  <c r="S13"/>
  <c r="R13"/>
  <c r="P13"/>
  <c r="L13"/>
  <c r="C13"/>
  <c r="AS12"/>
  <c r="AR12"/>
  <c r="AQ12"/>
  <c r="AP12"/>
  <c r="AO12"/>
  <c r="AN12"/>
  <c r="AM12"/>
  <c r="AK12"/>
  <c r="AJ12"/>
  <c r="AI12"/>
  <c r="AH12"/>
  <c r="AG12"/>
  <c r="U12"/>
  <c r="T12"/>
  <c r="S12"/>
  <c r="R12"/>
  <c r="P12"/>
  <c r="J12"/>
  <c r="I12"/>
  <c r="H12"/>
  <c r="AA11"/>
  <c r="U11"/>
  <c r="T11"/>
  <c r="S11"/>
  <c r="R11"/>
  <c r="P11"/>
  <c r="L11"/>
  <c r="K11"/>
  <c r="J11"/>
  <c r="I11"/>
  <c r="H11"/>
  <c r="C11"/>
  <c r="B11"/>
  <c r="A11"/>
  <c r="AS10"/>
  <c r="AR10"/>
  <c r="AQ10"/>
  <c r="AP10"/>
  <c r="AO10"/>
  <c r="AN10"/>
  <c r="AM10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R8"/>
  <c r="AQ8"/>
  <c r="AP8"/>
  <c r="AO8"/>
  <c r="AN8"/>
  <c r="AM8"/>
  <c r="AL8"/>
  <c r="AE8"/>
  <c r="AD8"/>
  <c r="AC8"/>
  <c r="AA8"/>
  <c r="Y8"/>
  <c r="X8"/>
  <c r="M8"/>
  <c r="K8"/>
  <c r="I8"/>
  <c r="G8"/>
  <c r="F8"/>
  <c r="E8"/>
  <c r="D8"/>
  <c r="C8"/>
  <c r="AL7"/>
  <c r="AE7"/>
  <c r="AD7"/>
  <c r="AC7"/>
  <c r="Y7"/>
  <c r="W7"/>
  <c r="M7"/>
  <c r="K7"/>
  <c r="I7"/>
  <c r="G7"/>
  <c r="F7"/>
  <c r="E7"/>
  <c r="D7"/>
  <c r="C7"/>
  <c r="AS6"/>
  <c r="AR6"/>
  <c r="AQ6"/>
  <c r="AP6"/>
  <c r="AO6"/>
  <c r="AN6"/>
  <c r="AM6"/>
  <c r="AL6"/>
  <c r="AK6"/>
  <c r="AJ6"/>
  <c r="AI6"/>
  <c r="AH6"/>
  <c r="AG6"/>
  <c r="AE6"/>
  <c r="AD6"/>
  <c r="AC6"/>
  <c r="AA6"/>
  <c r="Y6"/>
  <c r="X6"/>
  <c r="T6"/>
  <c r="S6"/>
  <c r="R6"/>
  <c r="O6"/>
  <c r="N6"/>
  <c r="M6"/>
  <c r="K6"/>
  <c r="J6"/>
  <c r="I6"/>
  <c r="H6"/>
  <c r="G6"/>
  <c r="F6"/>
  <c r="E6"/>
  <c r="D6"/>
  <c r="C6"/>
  <c r="AS26" i="24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3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2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1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20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19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18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17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16"/>
  <c r="AQ26"/>
  <c r="AM26"/>
  <c r="V26"/>
  <c r="U26"/>
  <c r="Q26"/>
  <c r="O26"/>
  <c r="M26"/>
  <c r="H26"/>
  <c r="C26"/>
  <c r="M25"/>
  <c r="H25"/>
  <c r="C25"/>
  <c r="AS24"/>
  <c r="AQ24"/>
  <c r="AM24"/>
  <c r="M24"/>
  <c r="H24"/>
  <c r="C24"/>
  <c r="V23"/>
  <c r="U23"/>
  <c r="Q23"/>
  <c r="O23"/>
  <c r="M23"/>
  <c r="H23"/>
  <c r="C23"/>
  <c r="AS22"/>
  <c r="AQ22"/>
  <c r="AM22"/>
  <c r="M22"/>
  <c r="H22"/>
  <c r="C22"/>
  <c r="M21"/>
  <c r="H21"/>
  <c r="C21"/>
  <c r="AS20"/>
  <c r="AQ20"/>
  <c r="AM20"/>
  <c r="M20"/>
  <c r="H20"/>
  <c r="C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  <c r="AS26" i="1"/>
  <c r="AQ26"/>
  <c r="AM26"/>
  <c r="V26"/>
  <c r="U26"/>
  <c r="Q26"/>
  <c r="O26"/>
  <c r="M26"/>
  <c r="H26"/>
  <c r="C26"/>
  <c r="M25"/>
  <c r="H25"/>
  <c r="AS24"/>
  <c r="AQ24"/>
  <c r="AM24"/>
  <c r="M24"/>
  <c r="H24"/>
  <c r="V23"/>
  <c r="U23"/>
  <c r="Q23"/>
  <c r="O23"/>
  <c r="M23"/>
  <c r="H23"/>
  <c r="C23"/>
  <c r="AS22"/>
  <c r="AQ22"/>
  <c r="AM22"/>
  <c r="M22"/>
  <c r="H22"/>
  <c r="M21"/>
  <c r="H21"/>
  <c r="AS20"/>
  <c r="AQ20"/>
  <c r="AM20"/>
  <c r="M20"/>
  <c r="H20"/>
  <c r="V19"/>
  <c r="U19"/>
  <c r="Q19"/>
  <c r="O19"/>
  <c r="M19"/>
  <c r="H19"/>
  <c r="C19"/>
  <c r="AS18"/>
  <c r="AQ18"/>
  <c r="AN18"/>
  <c r="AM18"/>
  <c r="AS16"/>
  <c r="AQ16"/>
  <c r="AN16"/>
  <c r="AM16"/>
  <c r="AS14"/>
  <c r="AQ14"/>
  <c r="AN14"/>
  <c r="AM14"/>
  <c r="AL14"/>
  <c r="AK14"/>
  <c r="AI14"/>
  <c r="AH14"/>
  <c r="W14"/>
  <c r="AA13"/>
  <c r="C13"/>
  <c r="AS12"/>
  <c r="AQ12"/>
  <c r="AN12"/>
  <c r="AM12"/>
  <c r="AI12"/>
  <c r="AG12"/>
  <c r="K11"/>
  <c r="AS10"/>
  <c r="AR10"/>
  <c r="AQ10"/>
  <c r="AP10"/>
  <c r="AO10"/>
  <c r="AN10"/>
  <c r="AM10"/>
  <c r="AL9"/>
  <c r="AK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S8"/>
  <c r="AQ8"/>
  <c r="AN8"/>
  <c r="AM8"/>
  <c r="E8"/>
  <c r="C8"/>
  <c r="W7"/>
  <c r="E7"/>
  <c r="C7"/>
  <c r="AS6"/>
  <c r="AR6"/>
  <c r="AQ6"/>
  <c r="AP6"/>
  <c r="AO6"/>
  <c r="AN6"/>
  <c r="AM6"/>
  <c r="AK6"/>
  <c r="AG6"/>
  <c r="T6"/>
  <c r="S6"/>
  <c r="R6"/>
  <c r="O6"/>
  <c r="N6"/>
  <c r="J6"/>
  <c r="H6"/>
  <c r="E6"/>
  <c r="C6"/>
  <c r="AO1"/>
</calcChain>
</file>

<file path=xl/sharedStrings.xml><?xml version="1.0" encoding="utf-8"?>
<sst xmlns="http://schemas.openxmlformats.org/spreadsheetml/2006/main" count="7616" uniqueCount="332">
  <si>
    <t xml:space="preserve">                                       莘县小海豚加油站销售报表付款及结存                                  </t>
  </si>
  <si>
    <t>本日总额</t>
  </si>
  <si>
    <t>本日优惠</t>
  </si>
  <si>
    <t>扫码支付</t>
  </si>
  <si>
    <t>现金支付</t>
  </si>
  <si>
    <t>扫银行收款码支付</t>
  </si>
  <si>
    <t>会员卡支付</t>
  </si>
  <si>
    <r>
      <rPr>
        <sz val="9"/>
        <color theme="1"/>
        <rFont val="新宋体"/>
        <charset val="134"/>
      </rPr>
      <t>P</t>
    </r>
    <r>
      <rPr>
        <sz val="9"/>
        <color theme="1"/>
        <rFont val="新宋体"/>
        <charset val="134"/>
      </rPr>
      <t>OS支付</t>
    </r>
  </si>
  <si>
    <t>团油支付</t>
  </si>
  <si>
    <t>转账支付</t>
  </si>
  <si>
    <t>银行业务</t>
  </si>
  <si>
    <t>上日结存</t>
  </si>
  <si>
    <t>扫码支付
实付金额</t>
  </si>
  <si>
    <t>扫码支付手续费</t>
  </si>
  <si>
    <t>扫码转银行</t>
  </si>
  <si>
    <t>本日结存</t>
  </si>
  <si>
    <t>实收现金</t>
  </si>
  <si>
    <t>纯现金</t>
  </si>
  <si>
    <t>现金存银行</t>
  </si>
  <si>
    <t>扫码实收</t>
  </si>
  <si>
    <t>银行到账</t>
  </si>
  <si>
    <t>手续费</t>
  </si>
  <si>
    <t>本日充值</t>
  </si>
  <si>
    <t>会员卡消费</t>
  </si>
  <si>
    <t>站间结算</t>
  </si>
  <si>
    <t>海豚币</t>
  </si>
  <si>
    <t>今日刷卡</t>
  </si>
  <si>
    <t>订单金额</t>
  </si>
  <si>
    <t>优惠金额</t>
  </si>
  <si>
    <t>转公户</t>
  </si>
  <si>
    <t>上日银行结存</t>
  </si>
  <si>
    <t>本日银行转入</t>
  </si>
  <si>
    <t>银行其它收入</t>
  </si>
  <si>
    <t>本日银行汇出</t>
  </si>
  <si>
    <t>本日银行结存</t>
  </si>
  <si>
    <t>银行余额</t>
  </si>
  <si>
    <t>余额盈亏</t>
  </si>
  <si>
    <t>公户</t>
  </si>
  <si>
    <t>个户</t>
  </si>
  <si>
    <t>油品销售</t>
  </si>
  <si>
    <t>会员卡充值</t>
  </si>
  <si>
    <t>滴滴支付</t>
  </si>
  <si>
    <t>上日公户结存</t>
  </si>
  <si>
    <t>本日公户转入</t>
  </si>
  <si>
    <t>公户其它收入</t>
  </si>
  <si>
    <t>本日公户汇出</t>
  </si>
  <si>
    <t>本日公户结存</t>
  </si>
  <si>
    <t>公户余额</t>
  </si>
  <si>
    <t>公户盈亏</t>
  </si>
  <si>
    <t>便利店销售</t>
  </si>
  <si>
    <t>结存</t>
  </si>
  <si>
    <t>上日个户结存</t>
  </si>
  <si>
    <t>本日个户转入</t>
  </si>
  <si>
    <t>个户其它收入</t>
  </si>
  <si>
    <t>本日个户汇出</t>
  </si>
  <si>
    <t>本日个户结存</t>
  </si>
  <si>
    <t>个户余额</t>
  </si>
  <si>
    <t>个户盈亏</t>
  </si>
  <si>
    <t>加油机总额</t>
  </si>
  <si>
    <t>今日回罐</t>
  </si>
  <si>
    <t>账户</t>
  </si>
  <si>
    <t>个户1</t>
  </si>
  <si>
    <t>个户2</t>
  </si>
  <si>
    <t>个户3</t>
  </si>
  <si>
    <t>结存盈亏</t>
  </si>
  <si>
    <t>现金收入</t>
  </si>
  <si>
    <t>填写交接班小票上实收现金</t>
  </si>
  <si>
    <t>当日收的
纯现金</t>
  </si>
  <si>
    <t>存入账户</t>
  </si>
  <si>
    <t>存入金额</t>
  </si>
  <si>
    <t>收款码</t>
  </si>
  <si>
    <t>个户4</t>
  </si>
  <si>
    <t>只限于汽油账户、柴油账户、通用账户的消费和</t>
  </si>
  <si>
    <t>站间结算是正值（本站输出），就填写正值，是负值（输入本站）就填写负值</t>
  </si>
  <si>
    <t>沉淀池资金</t>
  </si>
  <si>
    <t>抖音支付</t>
  </si>
  <si>
    <t>转银行</t>
  </si>
  <si>
    <t>银行后台</t>
  </si>
  <si>
    <t>上日个户1结存</t>
  </si>
  <si>
    <t>本日个户1转入</t>
  </si>
  <si>
    <t>个户1其它收入</t>
  </si>
  <si>
    <t>本日个户1汇出</t>
  </si>
  <si>
    <t>本日个户1结存</t>
  </si>
  <si>
    <t>个户1余额</t>
  </si>
  <si>
    <t>个户1盈亏</t>
  </si>
  <si>
    <t>备注</t>
  </si>
  <si>
    <t>总额盈亏</t>
  </si>
  <si>
    <t>现金支出</t>
  </si>
  <si>
    <t>转银行为银行实际到账金额
手续费为银行实际到账部分的手续费</t>
  </si>
  <si>
    <t>团油后台</t>
  </si>
  <si>
    <t>团油多付</t>
  </si>
  <si>
    <t>团油少付</t>
  </si>
  <si>
    <t>滴滴后台</t>
  </si>
  <si>
    <t>滴滴多付</t>
  </si>
  <si>
    <t>滴滴少付</t>
  </si>
  <si>
    <t>上日个户2结存</t>
  </si>
  <si>
    <t>本日个户2转入</t>
  </si>
  <si>
    <t>个户2其它收入</t>
  </si>
  <si>
    <t>本日个户2汇出</t>
  </si>
  <si>
    <t>本日个户2结存</t>
  </si>
  <si>
    <t>个户2余额</t>
  </si>
  <si>
    <t>个户2盈亏</t>
  </si>
  <si>
    <t>过磅费20、桶装水27元、便利店进金钱肚丝14元、早餐2份30元</t>
  </si>
  <si>
    <t>今日结存</t>
  </si>
  <si>
    <t>油罐进销存报表                4月1日7:46:06-2日7:17:11</t>
  </si>
  <si>
    <t>上日个户3结存</t>
  </si>
  <si>
    <t>本日个户3转入</t>
  </si>
  <si>
    <t>个户3其它收入</t>
  </si>
  <si>
    <t>本日个户3汇出</t>
  </si>
  <si>
    <t>本日个户3结存</t>
  </si>
  <si>
    <t>个户3余额</t>
  </si>
  <si>
    <t>个户3盈亏</t>
  </si>
  <si>
    <t>罐
号</t>
  </si>
  <si>
    <t>品
种</t>
  </si>
  <si>
    <t>上期库存</t>
  </si>
  <si>
    <t>本期入库</t>
  </si>
  <si>
    <t>本期出库</t>
  </si>
  <si>
    <t>本期结存</t>
  </si>
  <si>
    <t>油罐实存</t>
  </si>
  <si>
    <t>累计损耗</t>
  </si>
  <si>
    <t>今日损耗</t>
  </si>
  <si>
    <t>今日油价</t>
  </si>
  <si>
    <t>上日个户4结存</t>
  </si>
  <si>
    <t>本日个户4转入</t>
  </si>
  <si>
    <t>个户4其它收入</t>
  </si>
  <si>
    <t>本日个户4汇出</t>
  </si>
  <si>
    <t>本日个户4结存</t>
  </si>
  <si>
    <t>个户4余额</t>
  </si>
  <si>
    <t>个户4盈亏</t>
  </si>
  <si>
    <t>枪号</t>
  </si>
  <si>
    <t>起码</t>
  </si>
  <si>
    <t>调整前止码</t>
  </si>
  <si>
    <t>调整后起码</t>
  </si>
  <si>
    <t>止码</t>
  </si>
  <si>
    <t>回罐</t>
  </si>
  <si>
    <t>出库</t>
  </si>
  <si>
    <t>出库合计</t>
  </si>
  <si>
    <t>3#</t>
  </si>
  <si>
    <t>92#</t>
  </si>
  <si>
    <t>2#</t>
  </si>
  <si>
    <t>上日个户5结存</t>
  </si>
  <si>
    <t>本日个户5转入</t>
  </si>
  <si>
    <t>个户5其它收入</t>
  </si>
  <si>
    <t>本日个户5汇出</t>
  </si>
  <si>
    <t>本日个户5结存</t>
  </si>
  <si>
    <t>个户5余额</t>
  </si>
  <si>
    <t>个户5盈亏</t>
  </si>
  <si>
    <t>4#</t>
  </si>
  <si>
    <t>6#</t>
  </si>
  <si>
    <t>上日个户6结存</t>
  </si>
  <si>
    <t>本日个户6转入</t>
  </si>
  <si>
    <t>个户6其它收入</t>
  </si>
  <si>
    <t>本日个户6汇出</t>
  </si>
  <si>
    <t>本日个户6结存</t>
  </si>
  <si>
    <t>个户6余额</t>
  </si>
  <si>
    <t>个户6盈亏</t>
  </si>
  <si>
    <t>8#</t>
  </si>
  <si>
    <t>1#</t>
  </si>
  <si>
    <t>95#</t>
  </si>
  <si>
    <t>上日个户7结存</t>
  </si>
  <si>
    <t>本日个户7转入</t>
  </si>
  <si>
    <t>个户7其它收入</t>
  </si>
  <si>
    <t>本日个户7汇出</t>
  </si>
  <si>
    <t>本日个户7结存</t>
  </si>
  <si>
    <t>个户7余额</t>
  </si>
  <si>
    <t>个户7盈亏</t>
  </si>
  <si>
    <t>5#</t>
  </si>
  <si>
    <t>上日个户8结存</t>
  </si>
  <si>
    <t>本日个户8转入</t>
  </si>
  <si>
    <t>个户8其它收入</t>
  </si>
  <si>
    <t>本日个户8汇出</t>
  </si>
  <si>
    <t>本日个户8结存</t>
  </si>
  <si>
    <t>个户8余额</t>
  </si>
  <si>
    <t>个户8盈亏</t>
  </si>
  <si>
    <t>0#</t>
  </si>
  <si>
    <t>7#</t>
  </si>
  <si>
    <t/>
  </si>
  <si>
    <t>POS支付</t>
  </si>
  <si>
    <t>备注：网络问题造成白班抖音数据差异，经查抖音来客已核销，订单27105.75，一体机订单是25932.92应差1172.83元</t>
  </si>
  <si>
    <t>注现金收入：收韩站罚款230；
现金支出：生活费88；厨房用橱柜121元；便利店进补水啦饮料3箱180</t>
  </si>
  <si>
    <t>油罐进销存报表              2日7:17:24-3日7:50:24</t>
  </si>
  <si>
    <t>个户2支出：赠品纯水乐500包*6.9=3450元、雪糕3件*28=84元</t>
  </si>
  <si>
    <t>邮费12、生活费262</t>
  </si>
  <si>
    <t>油罐进销存报表                     3日7：50：38 - 4日7：28：40</t>
  </si>
  <si>
    <t>电表79921号7707.63元、86008号202.45元</t>
  </si>
  <si>
    <t xml:space="preserve">油罐进销存报表                        4日 7：28：47 -5日7：37：48                                          </t>
  </si>
  <si>
    <t>现金收入：从个户2 转入现金374元；3月份收韩站赠品超发补款380元
现金支出：水15元、面条20元</t>
  </si>
  <si>
    <t>5日7：37：57-6日7：25；24</t>
  </si>
  <si>
    <t xml:space="preserve"> </t>
  </si>
  <si>
    <t>备注：95#20L155.6元抖音已核销，未走一体机</t>
  </si>
  <si>
    <t>现金支出：赠品水615包*6.9=4243元、午餐100元（其中包子40元、凉皮60元0</t>
  </si>
  <si>
    <t>油罐进销存报表             6日7:25:34-7日8:12:02</t>
  </si>
  <si>
    <t>个户1：转傅丽君289750元
个户2：便利店进莘县大国农夫系列饮料1260元</t>
  </si>
  <si>
    <t>494元(营业室门帘379+防阳光卷帘115）、买菜56元</t>
  </si>
  <si>
    <t>油罐进销存报表                  7日8:12:08-8日7:10:04</t>
  </si>
  <si>
    <t>过磅费20元、鸡蛋13元、早餐6.5元、辣椒4元</t>
  </si>
  <si>
    <t>油罐进销存报表                          8日7:10:15-9日7:39:48</t>
  </si>
  <si>
    <t>油罐进销存报表</t>
  </si>
  <si>
    <t>上旬汇总</t>
  </si>
  <si>
    <t>本旬总额</t>
  </si>
  <si>
    <t>本旬优惠</t>
  </si>
  <si>
    <t>上旬结存</t>
  </si>
  <si>
    <t>本旬结存</t>
  </si>
  <si>
    <t>本旬充值</t>
  </si>
  <si>
    <t>上旬银行结存</t>
  </si>
  <si>
    <t>本旬银行转入</t>
  </si>
  <si>
    <t>本旬银行汇出</t>
  </si>
  <si>
    <t>本旬银行结存</t>
  </si>
  <si>
    <t>上旬公户结存</t>
  </si>
  <si>
    <t>本旬公户转入</t>
  </si>
  <si>
    <t>本旬公户汇出</t>
  </si>
  <si>
    <t>本旬公户结存</t>
  </si>
  <si>
    <t>上旬个户结存</t>
  </si>
  <si>
    <t>本旬个户转入</t>
  </si>
  <si>
    <t>本旬个户汇出</t>
  </si>
  <si>
    <t>本旬个户结存</t>
  </si>
  <si>
    <t>上旬个户2结存</t>
  </si>
  <si>
    <t>本旬个户2汇出</t>
  </si>
  <si>
    <t>本旬个户2结存</t>
  </si>
  <si>
    <t>上旬个户3结存</t>
  </si>
  <si>
    <t>本旬个户3转入</t>
  </si>
  <si>
    <t>本旬个户3汇出</t>
  </si>
  <si>
    <t>本旬个户3结存</t>
  </si>
  <si>
    <t>旬末油价</t>
  </si>
  <si>
    <t>上旬个户4结存</t>
  </si>
  <si>
    <t>本旬个户4转入</t>
  </si>
  <si>
    <t>本旬个户4汇出</t>
  </si>
  <si>
    <t>本旬个户4结存</t>
  </si>
  <si>
    <t>上旬个户5结存</t>
  </si>
  <si>
    <t>本旬个户5转入</t>
  </si>
  <si>
    <t>本旬个户5汇出</t>
  </si>
  <si>
    <t>本旬个户5结存</t>
  </si>
  <si>
    <t>上旬个户6结存</t>
  </si>
  <si>
    <t>本旬个户6转入</t>
  </si>
  <si>
    <t>本旬个户6汇出</t>
  </si>
  <si>
    <t>本旬个户6结存</t>
  </si>
  <si>
    <t>上旬个户7结存</t>
  </si>
  <si>
    <t>本旬个户7转入</t>
  </si>
  <si>
    <t>本旬个户7汇出</t>
  </si>
  <si>
    <t>本旬个户7结存</t>
  </si>
  <si>
    <t>上旬个户8结存</t>
  </si>
  <si>
    <t>本旬个户8转入</t>
  </si>
  <si>
    <t>本旬个户8汇出</t>
  </si>
  <si>
    <t>本旬个户8结存</t>
  </si>
  <si>
    <t>上日员农信结存</t>
  </si>
  <si>
    <t>员农信其它收入</t>
  </si>
  <si>
    <t>本日员农信汇出</t>
  </si>
  <si>
    <t>本日员农信结存</t>
  </si>
  <si>
    <t>员农信余额</t>
  </si>
  <si>
    <t>员农信盈亏</t>
  </si>
  <si>
    <t>中旬汇总</t>
  </si>
  <si>
    <t>今旬回罐</t>
  </si>
  <si>
    <t>当旬收的
纯现金</t>
  </si>
  <si>
    <t>优惠金额填写银行到账部分的优惠金额
结存为未到账部分的订单金额</t>
  </si>
  <si>
    <t>下旬汇总</t>
  </si>
  <si>
    <t>现金存
银行</t>
  </si>
  <si>
    <t>月汇总</t>
  </si>
  <si>
    <t>本月总额</t>
  </si>
  <si>
    <t>本月优惠</t>
  </si>
  <si>
    <t>上月结存</t>
  </si>
  <si>
    <t>本月结存</t>
  </si>
  <si>
    <t>本月充值</t>
  </si>
  <si>
    <t>上月银行结存</t>
  </si>
  <si>
    <t>本月银行转入</t>
  </si>
  <si>
    <t>本月银行汇出</t>
  </si>
  <si>
    <t>本月银行结存</t>
  </si>
  <si>
    <t>上月公户结存</t>
  </si>
  <si>
    <t>本月公户转入</t>
  </si>
  <si>
    <t>本月公户汇出</t>
  </si>
  <si>
    <t>本月公户结存</t>
  </si>
  <si>
    <t>上月个户结存</t>
  </si>
  <si>
    <t>本月个户转入</t>
  </si>
  <si>
    <t>本月个户汇出</t>
  </si>
  <si>
    <t>本月个户结存</t>
  </si>
  <si>
    <t>上月个户2结存</t>
  </si>
  <si>
    <t>本月个户2汇出</t>
  </si>
  <si>
    <t>本月个户2结存</t>
  </si>
  <si>
    <t>上月个户3结存</t>
  </si>
  <si>
    <t>本月个户3转入</t>
  </si>
  <si>
    <t>本月个户3汇出</t>
  </si>
  <si>
    <t>本月个户3结存</t>
  </si>
  <si>
    <t>月末油价</t>
  </si>
  <si>
    <t>上月个户4结存</t>
  </si>
  <si>
    <t>本月个户4转入</t>
  </si>
  <si>
    <t>本月个户4汇出</t>
  </si>
  <si>
    <t>本月个户4结存</t>
  </si>
  <si>
    <t>上月个户5结存</t>
  </si>
  <si>
    <t>本月个户5转入</t>
  </si>
  <si>
    <t>本月个户5汇出</t>
  </si>
  <si>
    <t>本月个户5结存</t>
  </si>
  <si>
    <t>上月个户6结存</t>
  </si>
  <si>
    <t>本月个户6转入</t>
  </si>
  <si>
    <t>本月个户6汇出</t>
  </si>
  <si>
    <t>本月个户6结存</t>
  </si>
  <si>
    <t>上月个户7结存</t>
  </si>
  <si>
    <t>本月个户7转入</t>
  </si>
  <si>
    <t>本月个户7汇出</t>
  </si>
  <si>
    <t>本月个户7结存</t>
  </si>
  <si>
    <t>上月个户8结存</t>
  </si>
  <si>
    <t>本月个户8转入</t>
  </si>
  <si>
    <t>本月个户8汇出</t>
  </si>
  <si>
    <t>本月个户8结存</t>
  </si>
  <si>
    <t>4月份销售简报</t>
  </si>
  <si>
    <t>日期</t>
  </si>
  <si>
    <r>
      <rPr>
        <sz val="12"/>
        <rFont val="宋体"/>
        <charset val="134"/>
      </rPr>
      <t xml:space="preserve">营业额 </t>
    </r>
    <r>
      <rPr>
        <sz val="12"/>
        <rFont val="宋体"/>
        <charset val="134"/>
      </rPr>
      <t xml:space="preserve">   优惠     手续费</t>
    </r>
  </si>
  <si>
    <t>现金结余</t>
  </si>
  <si>
    <t>未到账</t>
  </si>
  <si>
    <t>会员卡
余额</t>
  </si>
  <si>
    <t>合计</t>
  </si>
  <si>
    <t>库存结余</t>
  </si>
  <si>
    <t>柴油</t>
  </si>
  <si>
    <t>油品营业额</t>
  </si>
  <si>
    <t>油品优惠</t>
  </si>
  <si>
    <t>充值</t>
  </si>
  <si>
    <t>充值优惠</t>
  </si>
  <si>
    <t>便利店营业额</t>
  </si>
  <si>
    <t>便利店优惠</t>
  </si>
  <si>
    <t>银行合计</t>
  </si>
  <si>
    <t>升</t>
  </si>
  <si>
    <t>元</t>
  </si>
  <si>
    <t xml:space="preserve">           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</si>
  <si>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2.10</t>
    </r>
  </si>
  <si>
    <t>4.10</t>
  </si>
  <si>
    <t>1上旬汇总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</si>
  <si>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2.20</t>
    </r>
  </si>
  <si>
    <t>4.20</t>
  </si>
  <si>
    <t>1中旬汇总</t>
  </si>
  <si>
    <t>12.30</t>
  </si>
  <si>
    <t>4.30</t>
  </si>
  <si>
    <t>1下旬汇总</t>
  </si>
  <si>
    <t>1月汇总</t>
  </si>
  <si>
    <t xml:space="preserve">付款及结存                                  </t>
    <phoneticPr fontId="21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</si>
</sst>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yyyy&quot;年&quot;m&quot;月&quot;d&quot;日&quot;aaaa"/>
  </numFmts>
  <fonts count="24">
    <font>
      <sz val="11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9"/>
      <color theme="1"/>
      <name val="新宋体"/>
      <charset val="134"/>
    </font>
    <font>
      <sz val="9"/>
      <name val="新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color theme="1"/>
      <name val="华文楷体"/>
      <charset val="134"/>
    </font>
    <font>
      <sz val="11"/>
      <color theme="1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b/>
      <sz val="11"/>
      <color theme="1"/>
      <name val="楷体"/>
      <charset val="134"/>
    </font>
    <font>
      <sz val="8"/>
      <color theme="1"/>
      <name val="新宋体"/>
      <charset val="134"/>
    </font>
    <font>
      <sz val="18"/>
      <color theme="1"/>
      <name val="新宋体"/>
      <charset val="134"/>
    </font>
    <font>
      <sz val="9"/>
      <color rgb="FFFF0000"/>
      <name val="新宋体"/>
      <charset val="134"/>
    </font>
    <font>
      <sz val="11"/>
      <color rgb="FFFF0000"/>
      <name val="新宋体"/>
      <charset val="134"/>
    </font>
    <font>
      <sz val="18"/>
      <color rgb="FFFF0000"/>
      <name val="新宋体"/>
      <charset val="134"/>
    </font>
    <font>
      <sz val="8"/>
      <color rgb="FFFF0000"/>
      <name val="新宋体"/>
      <charset val="134"/>
    </font>
    <font>
      <sz val="16"/>
      <color theme="1"/>
      <name val="新宋体"/>
      <charset val="134"/>
    </font>
    <font>
      <sz val="9"/>
      <name val="宋体"/>
      <charset val="134"/>
      <scheme val="minor"/>
    </font>
    <font>
      <b/>
      <sz val="1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6" tint="0.79989013336588644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medium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/>
      <diagonal style="medium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178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" xfId="1" applyNumberFormat="1" applyFont="1" applyFill="1" applyBorder="1" applyAlignment="1" applyProtection="1">
      <alignment horizontal="center" vertical="center" wrapText="1"/>
    </xf>
    <xf numFmtId="178" fontId="2" fillId="3" borderId="8" xfId="1" applyNumberFormat="1" applyFont="1" applyFill="1" applyBorder="1" applyAlignment="1" applyProtection="1">
      <alignment horizontal="center" vertical="center" wrapText="1"/>
    </xf>
    <xf numFmtId="178" fontId="2" fillId="2" borderId="6" xfId="1" applyNumberFormat="1" applyFont="1" applyFill="1" applyBorder="1" applyAlignment="1" applyProtection="1">
      <alignment horizontal="center" vertical="center" wrapText="1"/>
    </xf>
    <xf numFmtId="178" fontId="2" fillId="3" borderId="6" xfId="1" applyNumberFormat="1" applyFont="1" applyFill="1" applyBorder="1" applyAlignment="1" applyProtection="1">
      <alignment horizontal="center" vertical="center" wrapText="1"/>
    </xf>
    <xf numFmtId="178" fontId="3" fillId="2" borderId="35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36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7" xfId="1" applyNumberFormat="1" applyFont="1" applyFill="1" applyBorder="1" applyAlignment="1" applyProtection="1">
      <alignment horizontal="center" vertical="center" wrapText="1"/>
    </xf>
    <xf numFmtId="178" fontId="3" fillId="5" borderId="8" xfId="1" applyNumberFormat="1" applyFont="1" applyFill="1" applyBorder="1" applyAlignment="1" applyProtection="1">
      <alignment horizontal="center" vertical="center" wrapText="1"/>
    </xf>
    <xf numFmtId="178" fontId="3" fillId="5" borderId="6" xfId="1" applyNumberFormat="1" applyFont="1" applyFill="1" applyBorder="1" applyAlignment="1" applyProtection="1">
      <alignment horizontal="center" vertical="center" wrapText="1"/>
    </xf>
    <xf numFmtId="178" fontId="2" fillId="6" borderId="8" xfId="1" applyNumberFormat="1" applyFont="1" applyFill="1" applyBorder="1" applyAlignment="1" applyProtection="1">
      <alignment horizontal="center" vertical="center" wrapText="1"/>
    </xf>
    <xf numFmtId="178" fontId="2" fillId="6" borderId="6" xfId="1" applyNumberFormat="1" applyFont="1" applyFill="1" applyBorder="1" applyAlignment="1" applyProtection="1">
      <alignment horizontal="center" vertical="center" wrapText="1"/>
    </xf>
    <xf numFmtId="178" fontId="2" fillId="2" borderId="20" xfId="1" applyNumberFormat="1" applyFont="1" applyFill="1" applyBorder="1" applyAlignment="1" applyProtection="1">
      <alignment horizontal="center" vertical="center" wrapText="1"/>
    </xf>
    <xf numFmtId="178" fontId="2" fillId="2" borderId="23" xfId="1" applyNumberFormat="1" applyFont="1" applyFill="1" applyBorder="1" applyAlignment="1" applyProtection="1">
      <alignment horizontal="center" vertical="center" wrapText="1"/>
    </xf>
    <xf numFmtId="178" fontId="2" fillId="2" borderId="3" xfId="1" applyNumberFormat="1" applyFont="1" applyFill="1" applyBorder="1" applyAlignment="1" applyProtection="1">
      <alignment horizontal="center" vertical="center" wrapText="1"/>
    </xf>
    <xf numFmtId="178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6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1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7" xfId="1" applyNumberFormat="1" applyFont="1" applyFill="1" applyBorder="1" applyAlignment="1" applyProtection="1">
      <alignment horizontal="center" vertical="center" wrapText="1"/>
    </xf>
    <xf numFmtId="178" fontId="2" fillId="3" borderId="37" xfId="1" applyNumberFormat="1" applyFont="1" applyFill="1" applyBorder="1" applyAlignment="1" applyProtection="1">
      <alignment horizontal="center" vertical="center" wrapText="1"/>
    </xf>
    <xf numFmtId="178" fontId="3" fillId="7" borderId="7" xfId="1" applyNumberFormat="1" applyFont="1" applyFill="1" applyBorder="1" applyAlignment="1" applyProtection="1">
      <alignment horizontal="center" vertical="center" wrapText="1"/>
    </xf>
    <xf numFmtId="178" fontId="2" fillId="0" borderId="7" xfId="1" applyNumberFormat="1" applyFont="1" applyFill="1" applyBorder="1" applyAlignment="1" applyProtection="1">
      <alignment horizontal="center" vertical="center" wrapText="1"/>
    </xf>
    <xf numFmtId="178" fontId="2" fillId="0" borderId="41" xfId="1" applyNumberFormat="1" applyFont="1" applyFill="1" applyBorder="1" applyAlignment="1" applyProtection="1">
      <alignment vertical="center" wrapText="1"/>
      <protection locked="0"/>
    </xf>
    <xf numFmtId="0" fontId="2" fillId="0" borderId="19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178" fontId="2" fillId="0" borderId="7" xfId="0" applyNumberFormat="1" applyFont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35" xfId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178" fontId="2" fillId="5" borderId="8" xfId="1" applyNumberFormat="1" applyFont="1" applyFill="1" applyBorder="1" applyAlignment="1" applyProtection="1">
      <alignment horizontal="center" vertical="center" wrapText="1"/>
    </xf>
    <xf numFmtId="178" fontId="3" fillId="5" borderId="7" xfId="1" applyNumberFormat="1" applyFont="1" applyFill="1" applyBorder="1" applyAlignment="1" applyProtection="1">
      <alignment horizontal="center" vertical="center" wrapText="1"/>
    </xf>
    <xf numFmtId="178" fontId="2" fillId="6" borderId="7" xfId="1" applyNumberFormat="1" applyFont="1" applyFill="1" applyBorder="1" applyAlignment="1" applyProtection="1">
      <alignment horizontal="center" vertical="center" wrapText="1"/>
    </xf>
    <xf numFmtId="178" fontId="2" fillId="2" borderId="8" xfId="1" applyNumberFormat="1" applyFont="1" applyFill="1" applyBorder="1" applyAlignment="1" applyProtection="1">
      <alignment horizontal="center" vertical="center" wrapText="1"/>
    </xf>
    <xf numFmtId="178" fontId="3" fillId="2" borderId="6" xfId="1" applyNumberFormat="1" applyFont="1" applyFill="1" applyBorder="1" applyAlignment="1" applyProtection="1">
      <alignment horizontal="center" vertical="center" wrapText="1"/>
    </xf>
    <xf numFmtId="178" fontId="12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78" fontId="2" fillId="8" borderId="7" xfId="1" applyNumberFormat="1" applyFont="1" applyFill="1" applyBorder="1" applyAlignment="1" applyProtection="1">
      <alignment horizontal="center" vertical="center" wrapText="1"/>
    </xf>
    <xf numFmtId="178" fontId="2" fillId="9" borderId="7" xfId="1" applyNumberFormat="1" applyFont="1" applyFill="1" applyBorder="1" applyAlignment="1" applyProtection="1">
      <alignment horizontal="center" vertical="center" wrapText="1"/>
    </xf>
    <xf numFmtId="178" fontId="3" fillId="2" borderId="35" xfId="1" applyNumberFormat="1" applyFont="1" applyFill="1" applyBorder="1" applyAlignment="1" applyProtection="1">
      <alignment horizontal="center" vertical="center" wrapText="1"/>
    </xf>
    <xf numFmtId="178" fontId="2" fillId="4" borderId="8" xfId="1" applyNumberFormat="1" applyFont="1" applyFill="1" applyBorder="1" applyAlignment="1" applyProtection="1">
      <alignment horizontal="center" vertical="center" wrapText="1"/>
    </xf>
    <xf numFmtId="178" fontId="3" fillId="10" borderId="35" xfId="1" applyNumberFormat="1" applyFont="1" applyFill="1" applyBorder="1" applyAlignment="1" applyProtection="1">
      <alignment horizontal="center" vertical="center" wrapText="1"/>
    </xf>
    <xf numFmtId="178" fontId="2" fillId="11" borderId="35" xfId="1" applyNumberFormat="1" applyFont="1" applyFill="1" applyBorder="1" applyAlignment="1" applyProtection="1">
      <alignment horizontal="center" vertical="center" wrapText="1"/>
    </xf>
    <xf numFmtId="178" fontId="2" fillId="0" borderId="7" xfId="0" applyNumberFormat="1" applyFont="1" applyBorder="1" applyAlignment="1" applyProtection="1">
      <alignment horizontal="center" vertical="center" wrapText="1"/>
      <protection locked="0"/>
    </xf>
    <xf numFmtId="178" fontId="2" fillId="2" borderId="57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32" xfId="1" applyNumberFormat="1" applyFont="1" applyFill="1" applyBorder="1" applyAlignment="1" applyProtection="1">
      <alignment horizontal="center" vertical="center" wrapText="1"/>
    </xf>
    <xf numFmtId="178" fontId="3" fillId="2" borderId="36" xfId="1" applyNumberFormat="1" applyFont="1" applyFill="1" applyBorder="1" applyAlignment="1" applyProtection="1">
      <alignment horizontal="center" vertical="center" wrapText="1"/>
    </xf>
    <xf numFmtId="178" fontId="3" fillId="2" borderId="6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60" xfId="1" applyNumberFormat="1" applyFont="1" applyFill="1" applyBorder="1" applyAlignment="1" applyProtection="1">
      <alignment horizontal="center" vertical="center" wrapText="1"/>
      <protection locked="0"/>
    </xf>
    <xf numFmtId="178" fontId="2" fillId="6" borderId="2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78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7" xfId="1" applyNumberFormat="1" applyFont="1" applyFill="1" applyBorder="1" applyAlignment="1" applyProtection="1">
      <alignment horizontal="center" vertical="center" wrapText="1"/>
    </xf>
    <xf numFmtId="178" fontId="2" fillId="11" borderId="7" xfId="1" applyNumberFormat="1" applyFont="1" applyFill="1" applyBorder="1" applyAlignment="1" applyProtection="1">
      <alignment horizontal="center" vertical="center" wrapText="1"/>
    </xf>
    <xf numFmtId="178" fontId="2" fillId="12" borderId="7" xfId="1" applyNumberFormat="1" applyFont="1" applyFill="1" applyBorder="1" applyAlignment="1" applyProtection="1">
      <alignment horizontal="center" vertical="center" wrapText="1"/>
    </xf>
    <xf numFmtId="178" fontId="2" fillId="13" borderId="8" xfId="1" applyNumberFormat="1" applyFont="1" applyFill="1" applyBorder="1" applyAlignment="1" applyProtection="1">
      <alignment horizontal="center" vertical="center" wrapText="1"/>
    </xf>
    <xf numFmtId="178" fontId="2" fillId="2" borderId="46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20" xfId="1" applyNumberFormat="1" applyFont="1" applyFill="1" applyBorder="1" applyAlignment="1" applyProtection="1">
      <alignment horizontal="center" vertical="center" wrapText="1"/>
    </xf>
    <xf numFmtId="178" fontId="2" fillId="0" borderId="6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6" xfId="1" applyNumberFormat="1" applyFont="1" applyFill="1" applyBorder="1" applyAlignment="1" applyProtection="1">
      <alignment horizontal="center" vertical="center" wrapText="1"/>
    </xf>
    <xf numFmtId="178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8" fontId="2" fillId="3" borderId="8" xfId="0" applyNumberFormat="1" applyFont="1" applyFill="1" applyBorder="1" applyAlignment="1" applyProtection="1">
      <alignment horizontal="center" vertical="center" wrapText="1"/>
    </xf>
    <xf numFmtId="178" fontId="2" fillId="3" borderId="7" xfId="0" applyNumberFormat="1" applyFont="1" applyFill="1" applyBorder="1" applyAlignment="1" applyProtection="1">
      <alignment horizontal="center" vertical="center" wrapText="1"/>
    </xf>
    <xf numFmtId="178" fontId="10" fillId="0" borderId="53" xfId="0" applyNumberFormat="1" applyFont="1" applyBorder="1" applyAlignment="1" applyProtection="1">
      <alignment vertical="center" wrapText="1"/>
      <protection locked="0"/>
    </xf>
    <xf numFmtId="178" fontId="2" fillId="6" borderId="8" xfId="0" applyNumberFormat="1" applyFont="1" applyFill="1" applyBorder="1" applyAlignment="1" applyProtection="1">
      <alignment horizontal="center" vertical="center" wrapText="1"/>
    </xf>
    <xf numFmtId="178" fontId="2" fillId="6" borderId="7" xfId="0" applyNumberFormat="1" applyFont="1" applyFill="1" applyBorder="1" applyAlignment="1" applyProtection="1">
      <alignment horizontal="center" vertical="center" wrapText="1"/>
    </xf>
    <xf numFmtId="178" fontId="2" fillId="0" borderId="16" xfId="1" applyNumberFormat="1" applyFont="1" applyFill="1" applyBorder="1" applyAlignment="1" applyProtection="1">
      <alignment horizontal="center" vertical="center" wrapText="1"/>
    </xf>
    <xf numFmtId="178" fontId="2" fillId="0" borderId="8" xfId="0" applyNumberFormat="1" applyFont="1" applyBorder="1" applyAlignment="1" applyProtection="1">
      <alignment horizontal="center" vertical="center" wrapText="1"/>
    </xf>
    <xf numFmtId="178" fontId="2" fillId="0" borderId="31" xfId="0" applyNumberFormat="1" applyFont="1" applyBorder="1" applyAlignment="1" applyProtection="1">
      <alignment horizontal="center" vertical="center" wrapText="1"/>
    </xf>
    <xf numFmtId="178" fontId="2" fillId="0" borderId="32" xfId="0" applyNumberFormat="1" applyFont="1" applyBorder="1" applyAlignment="1" applyProtection="1">
      <alignment horizontal="center" vertical="center" wrapText="1"/>
    </xf>
    <xf numFmtId="178" fontId="2" fillId="0" borderId="38" xfId="0" applyNumberFormat="1" applyFont="1" applyBorder="1" applyAlignment="1" applyProtection="1">
      <alignment horizontal="center" vertical="center" wrapText="1"/>
    </xf>
    <xf numFmtId="178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8" xfId="1" applyNumberFormat="1" applyFont="1" applyFill="1" applyBorder="1" applyAlignment="1" applyProtection="1">
      <alignment horizontal="center" vertical="center" wrapText="1"/>
    </xf>
    <xf numFmtId="178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5" xfId="1" applyNumberFormat="1" applyFont="1" applyFill="1" applyBorder="1" applyAlignment="1" applyProtection="1">
      <alignment horizontal="center" vertical="center" wrapText="1"/>
    </xf>
    <xf numFmtId="178" fontId="2" fillId="3" borderId="13" xfId="1" applyNumberFormat="1" applyFont="1" applyFill="1" applyBorder="1" applyAlignment="1" applyProtection="1">
      <alignment horizontal="center" vertical="center" wrapText="1"/>
    </xf>
    <xf numFmtId="178" fontId="2" fillId="3" borderId="12" xfId="1" applyNumberFormat="1" applyFont="1" applyFill="1" applyBorder="1" applyAlignment="1" applyProtection="1">
      <alignment horizontal="center" vertical="center" wrapText="1"/>
    </xf>
    <xf numFmtId="178" fontId="2" fillId="0" borderId="77" xfId="1" applyNumberFormat="1" applyFont="1" applyFill="1" applyBorder="1" applyAlignment="1" applyProtection="1">
      <alignment horizontal="center" vertical="center" wrapText="1"/>
    </xf>
    <xf numFmtId="178" fontId="2" fillId="3" borderId="10" xfId="1" applyNumberFormat="1" applyFont="1" applyFill="1" applyBorder="1" applyAlignment="1" applyProtection="1">
      <alignment horizontal="center" vertical="center" wrapText="1"/>
    </xf>
    <xf numFmtId="178" fontId="2" fillId="0" borderId="45" xfId="1" applyNumberFormat="1" applyFont="1" applyFill="1" applyBorder="1" applyAlignment="1" applyProtection="1">
      <alignment horizontal="center" vertical="center" wrapText="1"/>
    </xf>
    <xf numFmtId="178" fontId="2" fillId="0" borderId="12" xfId="1" applyNumberFormat="1" applyFont="1" applyFill="1" applyBorder="1" applyAlignment="1" applyProtection="1">
      <alignment horizontal="center" vertical="center" wrapText="1"/>
    </xf>
    <xf numFmtId="178" fontId="3" fillId="5" borderId="10" xfId="1" applyNumberFormat="1" applyFont="1" applyFill="1" applyBorder="1" applyAlignment="1" applyProtection="1">
      <alignment horizontal="center" vertical="center" wrapText="1"/>
    </xf>
    <xf numFmtId="178" fontId="3" fillId="6" borderId="10" xfId="1" applyNumberFormat="1" applyFont="1" applyFill="1" applyBorder="1" applyAlignment="1" applyProtection="1">
      <alignment horizontal="center" vertical="center" wrapText="1"/>
    </xf>
    <xf numFmtId="178" fontId="3" fillId="0" borderId="13" xfId="1" applyNumberFormat="1" applyFont="1" applyFill="1" applyBorder="1" applyAlignment="1" applyProtection="1">
      <alignment horizontal="center" vertical="center" wrapText="1"/>
    </xf>
    <xf numFmtId="178" fontId="2" fillId="2" borderId="45" xfId="1" applyNumberFormat="1" applyFont="1" applyFill="1" applyBorder="1" applyAlignment="1" applyProtection="1">
      <alignment horizontal="center" vertical="center" wrapText="1"/>
    </xf>
    <xf numFmtId="178" fontId="2" fillId="3" borderId="41" xfId="1" applyNumberFormat="1" applyFont="1" applyFill="1" applyBorder="1" applyAlignment="1" applyProtection="1">
      <alignment horizontal="center" vertical="center" wrapText="1"/>
    </xf>
    <xf numFmtId="178" fontId="2" fillId="2" borderId="12" xfId="1" applyNumberFormat="1" applyFont="1" applyFill="1" applyBorder="1" applyAlignment="1" applyProtection="1">
      <alignment horizontal="center" vertical="center" wrapText="1"/>
    </xf>
    <xf numFmtId="178" fontId="3" fillId="0" borderId="10" xfId="1" applyNumberFormat="1" applyFont="1" applyFill="1" applyBorder="1" applyAlignment="1" applyProtection="1">
      <alignment horizontal="center" vertical="center" wrapText="1"/>
    </xf>
    <xf numFmtId="178" fontId="2" fillId="2" borderId="19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1" applyNumberFormat="1" applyFont="1" applyFill="1" applyBorder="1" applyAlignment="1" applyProtection="1">
      <alignment horizontal="center" vertical="center" wrapText="1"/>
    </xf>
    <xf numFmtId="178" fontId="2" fillId="0" borderId="20" xfId="1" applyNumberFormat="1" applyFont="1" applyFill="1" applyBorder="1" applyAlignment="1" applyProtection="1">
      <alignment horizontal="center" vertical="center" wrapText="1"/>
    </xf>
    <xf numFmtId="178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3" xfId="1" applyNumberFormat="1" applyFont="1" applyFill="1" applyBorder="1" applyAlignment="1" applyProtection="1">
      <alignment horizontal="center" vertical="center" wrapText="1"/>
    </xf>
    <xf numFmtId="178" fontId="2" fillId="3" borderId="14" xfId="1" applyNumberFormat="1" applyFont="1" applyFill="1" applyBorder="1" applyAlignment="1" applyProtection="1">
      <alignment horizontal="center" vertical="center" wrapText="1"/>
    </xf>
    <xf numFmtId="178" fontId="2" fillId="2" borderId="46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8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4" fillId="0" borderId="13" xfId="0" applyNumberFormat="1" applyFont="1" applyBorder="1" applyAlignment="1" applyProtection="1">
      <alignment horizontal="center" vertical="center" wrapText="1"/>
    </xf>
    <xf numFmtId="178" fontId="3" fillId="0" borderId="14" xfId="1" applyNumberFormat="1" applyFont="1" applyFill="1" applyBorder="1" applyAlignment="1" applyProtection="1">
      <alignment horizontal="center" vertical="center" wrapText="1"/>
    </xf>
    <xf numFmtId="178" fontId="2" fillId="0" borderId="46" xfId="1" applyNumberFormat="1" applyFont="1" applyFill="1" applyBorder="1" applyAlignment="1" applyProtection="1">
      <alignment vertical="center" wrapText="1"/>
      <protection locked="0"/>
    </xf>
    <xf numFmtId="178" fontId="2" fillId="0" borderId="7" xfId="1" applyNumberFormat="1" applyFont="1" applyFill="1" applyBorder="1" applyAlignment="1" applyProtection="1">
      <alignment vertical="center" wrapText="1"/>
      <protection locked="0"/>
    </xf>
    <xf numFmtId="178" fontId="2" fillId="0" borderId="46" xfId="1" applyNumberFormat="1" applyFont="1" applyFill="1" applyBorder="1" applyAlignment="1" applyProtection="1">
      <alignment horizontal="center" vertical="center" wrapText="1"/>
    </xf>
    <xf numFmtId="0" fontId="2" fillId="0" borderId="46" xfId="1" applyFont="1" applyFill="1" applyBorder="1" applyAlignment="1" applyProtection="1">
      <alignment vertical="center" wrapText="1"/>
      <protection locked="0"/>
    </xf>
    <xf numFmtId="0" fontId="2" fillId="0" borderId="7" xfId="1" applyFont="1" applyFill="1" applyBorder="1" applyAlignment="1" applyProtection="1">
      <alignment vertical="center" wrapText="1"/>
      <protection locked="0"/>
    </xf>
    <xf numFmtId="178" fontId="2" fillId="0" borderId="6" xfId="1" applyNumberFormat="1" applyFont="1" applyFill="1" applyBorder="1" applyAlignment="1" applyProtection="1">
      <alignment horizontal="center" vertical="center" wrapText="1"/>
    </xf>
    <xf numFmtId="178" fontId="2" fillId="0" borderId="77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3" xfId="1" applyNumberFormat="1" applyFont="1" applyFill="1" applyBorder="1" applyAlignment="1" applyProtection="1">
      <alignment horizontal="center" vertical="center" wrapText="1"/>
    </xf>
    <xf numFmtId="178" fontId="4" fillId="0" borderId="14" xfId="0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178" fontId="3" fillId="14" borderId="13" xfId="1" applyNumberFormat="1" applyFont="1" applyFill="1" applyBorder="1" applyAlignment="1" applyProtection="1">
      <alignment horizontal="center" vertical="center" wrapText="1"/>
    </xf>
    <xf numFmtId="178" fontId="14" fillId="0" borderId="13" xfId="1" applyNumberFormat="1" applyFont="1" applyFill="1" applyBorder="1" applyAlignment="1" applyProtection="1">
      <alignment horizontal="center" vertical="center" wrapText="1"/>
    </xf>
    <xf numFmtId="178" fontId="4" fillId="14" borderId="13" xfId="0" applyNumberFormat="1" applyFont="1" applyFill="1" applyBorder="1" applyAlignment="1" applyProtection="1">
      <alignment horizontal="center" vertical="center" wrapText="1"/>
    </xf>
    <xf numFmtId="178" fontId="2" fillId="2" borderId="17" xfId="1" applyNumberFormat="1" applyFont="1" applyFill="1" applyBorder="1" applyAlignment="1" applyProtection="1">
      <alignment horizontal="center" vertical="center" wrapText="1"/>
      <protection locked="0"/>
    </xf>
    <xf numFmtId="178" fontId="4" fillId="0" borderId="7" xfId="0" applyNumberFormat="1" applyFont="1" applyBorder="1" applyAlignment="1" applyProtection="1">
      <alignment horizontal="center" vertical="center" wrapText="1"/>
    </xf>
    <xf numFmtId="178" fontId="4" fillId="0" borderId="8" xfId="0" applyNumberFormat="1" applyFont="1" applyBorder="1" applyAlignment="1" applyProtection="1">
      <alignment horizontal="center" vertical="center" wrapText="1"/>
    </xf>
    <xf numFmtId="178" fontId="2" fillId="13" borderId="7" xfId="1" applyNumberFormat="1" applyFont="1" applyFill="1" applyBorder="1" applyAlignment="1" applyProtection="1">
      <alignment horizontal="center" vertical="center" wrapText="1"/>
    </xf>
    <xf numFmtId="178" fontId="2" fillId="14" borderId="13" xfId="1" applyNumberFormat="1" applyFont="1" applyFill="1" applyBorder="1" applyAlignment="1" applyProtection="1">
      <alignment horizontal="center" vertical="center" wrapText="1"/>
    </xf>
    <xf numFmtId="178" fontId="2" fillId="3" borderId="8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78" fontId="3" fillId="5" borderId="8" xfId="1" applyNumberFormat="1" applyFont="1" applyFill="1" applyBorder="1" applyAlignment="1" applyProtection="1">
      <alignment horizontal="center" vertical="center" wrapText="1"/>
      <protection locked="0"/>
    </xf>
    <xf numFmtId="178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178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178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37" xfId="1" applyNumberFormat="1" applyFont="1" applyFill="1" applyBorder="1" applyAlignment="1" applyProtection="1">
      <alignment horizontal="center" vertical="center" wrapText="1"/>
      <protection locked="0"/>
    </xf>
    <xf numFmtId="178" fontId="3" fillId="7" borderId="7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178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178" fontId="3" fillId="5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178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178" fontId="2" fillId="8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9" borderId="7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8" xfId="1" applyNumberFormat="1" applyFont="1" applyFill="1" applyBorder="1" applyAlignment="1" applyProtection="1">
      <alignment horizontal="center" vertical="center" wrapText="1"/>
    </xf>
    <xf numFmtId="178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35" xfId="1" applyNumberFormat="1" applyFont="1" applyFill="1" applyBorder="1" applyAlignment="1" applyProtection="1">
      <alignment horizontal="center" vertical="center" wrapText="1"/>
      <protection locked="0"/>
    </xf>
    <xf numFmtId="178" fontId="2" fillId="11" borderId="35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" xfId="1" applyNumberFormat="1" applyFont="1" applyFill="1" applyBorder="1" applyAlignment="1" applyProtection="1">
      <alignment vertical="center" wrapText="1"/>
      <protection locked="0"/>
    </xf>
    <xf numFmtId="178" fontId="2" fillId="3" borderId="32" xfId="1" applyNumberFormat="1" applyFont="1" applyFill="1" applyBorder="1" applyAlignment="1" applyProtection="1">
      <alignment horizontal="center" vertical="center" wrapText="1"/>
      <protection locked="0"/>
    </xf>
    <xf numFmtId="178" fontId="2" fillId="6" borderId="20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11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12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13" borderId="8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11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12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13" borderId="16" xfId="1" applyNumberFormat="1" applyFont="1" applyFill="1" applyBorder="1" applyAlignment="1" applyProtection="1">
      <alignment horizontal="center" vertical="center" wrapText="1"/>
      <protection locked="0"/>
    </xf>
    <xf numFmtId="178" fontId="10" fillId="3" borderId="8" xfId="0" applyNumberFormat="1" applyFont="1" applyFill="1" applyBorder="1" applyAlignment="1" applyProtection="1">
      <alignment vertical="center" wrapText="1"/>
      <protection locked="0"/>
    </xf>
    <xf numFmtId="178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78" fontId="10" fillId="6" borderId="8" xfId="0" applyNumberFormat="1" applyFont="1" applyFill="1" applyBorder="1" applyAlignment="1" applyProtection="1">
      <alignment vertical="center" wrapText="1"/>
      <protection locked="0"/>
    </xf>
    <xf numFmtId="178" fontId="10" fillId="6" borderId="7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12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178" fontId="3" fillId="5" borderId="10" xfId="1" applyNumberFormat="1" applyFont="1" applyFill="1" applyBorder="1" applyAlignment="1" applyProtection="1">
      <alignment horizontal="center" vertical="center" wrapText="1"/>
      <protection locked="0"/>
    </xf>
    <xf numFmtId="178" fontId="3" fillId="6" borderId="10" xfId="1" applyNumberFormat="1" applyFont="1" applyFill="1" applyBorder="1" applyAlignment="1" applyProtection="1">
      <alignment vertical="center" wrapText="1"/>
      <protection locked="0"/>
    </xf>
    <xf numFmtId="178" fontId="2" fillId="3" borderId="41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4" xfId="1" applyNumberFormat="1" applyFont="1" applyFill="1" applyBorder="1" applyAlignment="1" applyProtection="1">
      <alignment horizontal="center" vertical="center" wrapText="1"/>
    </xf>
    <xf numFmtId="178" fontId="3" fillId="2" borderId="46" xfId="1" applyNumberFormat="1" applyFont="1" applyFill="1" applyBorder="1" applyAlignment="1" applyProtection="1">
      <alignment horizontal="center" vertical="center" wrapText="1"/>
    </xf>
    <xf numFmtId="178" fontId="3" fillId="14" borderId="13" xfId="1" applyNumberFormat="1" applyFont="1" applyFill="1" applyBorder="1" applyAlignment="1" applyProtection="1">
      <alignment horizontal="center" vertical="center" wrapText="1"/>
      <protection locked="0"/>
    </xf>
    <xf numFmtId="178" fontId="4" fillId="14" borderId="13" xfId="0" applyNumberFormat="1" applyFont="1" applyFill="1" applyBorder="1" applyAlignment="1" applyProtection="1">
      <alignment horizontal="center" vertical="center" wrapText="1"/>
      <protection locked="0"/>
    </xf>
    <xf numFmtId="178" fontId="2" fillId="13" borderId="7" xfId="1" applyNumberFormat="1" applyFont="1" applyFill="1" applyBorder="1" applyAlignment="1" applyProtection="1">
      <alignment horizontal="center" vertical="center" wrapText="1"/>
      <protection locked="0"/>
    </xf>
    <xf numFmtId="178" fontId="4" fillId="0" borderId="8" xfId="0" applyNumberFormat="1" applyFont="1" applyBorder="1" applyAlignment="1" applyProtection="1">
      <alignment horizontal="center" vertical="center" wrapText="1"/>
      <protection locked="0"/>
    </xf>
    <xf numFmtId="178" fontId="2" fillId="14" borderId="13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14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4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78" fontId="2" fillId="2" borderId="23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5" xfId="0" applyNumberFormat="1" applyFont="1" applyBorder="1" applyAlignment="1" applyProtection="1">
      <alignment horizontal="center" vertical="center" wrapText="1"/>
      <protection locked="0"/>
    </xf>
    <xf numFmtId="178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18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8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9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4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45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3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13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20" xfId="1" applyNumberFormat="1" applyFont="1" applyFill="1" applyBorder="1" applyAlignment="1" applyProtection="1">
      <alignment horizontal="center" vertical="center" wrapText="1"/>
      <protection locked="0"/>
    </xf>
    <xf numFmtId="178" fontId="4" fillId="0" borderId="13" xfId="0" applyNumberFormat="1" applyFont="1" applyBorder="1" applyAlignment="1" applyProtection="1">
      <alignment horizontal="center" vertical="center" wrapText="1"/>
      <protection locked="0"/>
    </xf>
    <xf numFmtId="178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9" xfId="1" applyNumberFormat="1" applyFont="1" applyFill="1" applyBorder="1" applyAlignment="1" applyProtection="1">
      <alignment vertical="center" wrapText="1"/>
      <protection locked="0"/>
    </xf>
    <xf numFmtId="178" fontId="2" fillId="0" borderId="20" xfId="1" applyNumberFormat="1" applyFont="1" applyFill="1" applyBorder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178" fontId="4" fillId="0" borderId="14" xfId="0" applyNumberFormat="1" applyFont="1" applyBorder="1" applyAlignment="1" applyProtection="1">
      <alignment horizontal="center" vertical="center" wrapText="1"/>
      <protection locked="0"/>
    </xf>
    <xf numFmtId="178" fontId="0" fillId="0" borderId="0" xfId="0" applyNumberFormat="1" applyAlignment="1" applyProtection="1">
      <alignment vertical="center" wrapText="1"/>
      <protection locked="0"/>
    </xf>
    <xf numFmtId="178" fontId="14" fillId="0" borderId="13" xfId="1" applyNumberFormat="1" applyFont="1" applyFill="1" applyBorder="1" applyAlignment="1" applyProtection="1">
      <alignment horizontal="center" vertical="center" wrapText="1"/>
      <protection locked="0"/>
    </xf>
    <xf numFmtId="178" fontId="4" fillId="0" borderId="7" xfId="0" applyNumberFormat="1" applyFont="1" applyBorder="1" applyAlignment="1" applyProtection="1">
      <alignment horizontal="center" vertical="center" wrapText="1"/>
      <protection locked="0"/>
    </xf>
    <xf numFmtId="178" fontId="3" fillId="2" borderId="8" xfId="1" applyNumberFormat="1" applyFont="1" applyFill="1" applyBorder="1" applyAlignment="1" applyProtection="1">
      <alignment horizontal="center" vertical="center" wrapText="1"/>
      <protection locked="0"/>
    </xf>
    <xf numFmtId="178" fontId="3" fillId="7" borderId="13" xfId="1" applyNumberFormat="1" applyFont="1" applyFill="1" applyBorder="1" applyAlignment="1" applyProtection="1">
      <alignment horizontal="center" vertical="center" wrapText="1"/>
      <protection locked="0"/>
    </xf>
    <xf numFmtId="178" fontId="3" fillId="7" borderId="14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23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13" xfId="1" applyNumberFormat="1" applyFont="1" applyFill="1" applyBorder="1" applyAlignment="1" applyProtection="1">
      <alignment horizontal="center" vertical="center" wrapText="1"/>
      <protection locked="0"/>
    </xf>
    <xf numFmtId="178" fontId="3" fillId="10" borderId="14" xfId="1" applyNumberFormat="1" applyFont="1" applyFill="1" applyBorder="1" applyAlignment="1" applyProtection="1">
      <alignment horizontal="center" vertical="center" wrapText="1"/>
      <protection locked="0"/>
    </xf>
    <xf numFmtId="178" fontId="4" fillId="14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78" fontId="2" fillId="0" borderId="29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0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3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35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36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5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9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43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40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3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78" fontId="2" fillId="0" borderId="7" xfId="1" applyNumberFormat="1" applyFont="1" applyFill="1" applyBorder="1" applyAlignment="1" applyProtection="1">
      <alignment horizontal="center" vertical="center" wrapText="1"/>
    </xf>
    <xf numFmtId="178" fontId="3" fillId="2" borderId="49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9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center" wrapText="1"/>
      <protection locked="0"/>
    </xf>
    <xf numFmtId="0" fontId="2" fillId="0" borderId="46" xfId="1" applyFont="1" applyFill="1" applyBorder="1" applyAlignment="1" applyProtection="1">
      <alignment horizontal="center" vertical="center" wrapText="1"/>
      <protection locked="0"/>
    </xf>
    <xf numFmtId="0" fontId="2" fillId="0" borderId="47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31" xfId="1" applyFont="1" applyFill="1" applyBorder="1" applyAlignment="1" applyProtection="1">
      <alignment horizontal="center" vertical="center" wrapText="1"/>
      <protection locked="0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2" fillId="0" borderId="48" xfId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178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4" borderId="32" xfId="1" applyNumberFormat="1" applyFont="1" applyFill="1" applyBorder="1" applyAlignment="1" applyProtection="1">
      <alignment horizontal="center" vertical="center" wrapText="1"/>
      <protection locked="0"/>
    </xf>
    <xf numFmtId="178" fontId="2" fillId="4" borderId="18" xfId="1" applyNumberFormat="1" applyFont="1" applyFill="1" applyBorder="1" applyAlignment="1" applyProtection="1">
      <alignment horizontal="center" vertical="center" wrapText="1"/>
      <protection locked="0"/>
    </xf>
    <xf numFmtId="178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2" xfId="1" applyNumberFormat="1" applyFont="1" applyFill="1" applyBorder="1" applyAlignment="1" applyProtection="1">
      <alignment horizontal="center" vertical="center" wrapText="1"/>
    </xf>
    <xf numFmtId="178" fontId="2" fillId="2" borderId="18" xfId="1" applyNumberFormat="1" applyFont="1" applyFill="1" applyBorder="1" applyAlignment="1" applyProtection="1">
      <alignment horizontal="center" vertical="center" wrapText="1"/>
    </xf>
    <xf numFmtId="178" fontId="2" fillId="2" borderId="20" xfId="1" applyNumberFormat="1" applyFont="1" applyFill="1" applyBorder="1" applyAlignment="1" applyProtection="1">
      <alignment horizontal="center" vertical="center" wrapText="1"/>
    </xf>
    <xf numFmtId="178" fontId="3" fillId="2" borderId="33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48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42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52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" xfId="1" applyNumberFormat="1" applyFont="1" applyFill="1" applyBorder="1" applyAlignment="1" applyProtection="1">
      <alignment horizontal="center" vertical="center" wrapText="1"/>
    </xf>
    <xf numFmtId="178" fontId="3" fillId="2" borderId="7" xfId="1" applyNumberFormat="1" applyFont="1" applyFill="1" applyBorder="1" applyAlignment="1" applyProtection="1">
      <alignment horizontal="center" vertical="center" wrapText="1"/>
    </xf>
    <xf numFmtId="178" fontId="2" fillId="2" borderId="53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56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59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6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2" xfId="1" applyNumberFormat="1" applyFont="1" applyFill="1" applyBorder="1" applyAlignment="1" applyProtection="1">
      <alignment horizontal="center" vertical="center" wrapText="1"/>
    </xf>
    <xf numFmtId="178" fontId="2" fillId="0" borderId="18" xfId="1" applyNumberFormat="1" applyFont="1" applyFill="1" applyBorder="1" applyAlignment="1" applyProtection="1">
      <alignment horizontal="center" vertical="center" wrapText="1"/>
    </xf>
    <xf numFmtId="178" fontId="2" fillId="2" borderId="32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68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0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7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9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3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59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62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78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7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79" fontId="13" fillId="0" borderId="0" xfId="1" applyNumberFormat="1" applyFont="1" applyFill="1" applyBorder="1" applyAlignment="1" applyProtection="1">
      <alignment horizontal="center" vertical="center" wrapText="1"/>
    </xf>
    <xf numFmtId="179" fontId="13" fillId="0" borderId="1" xfId="1" applyNumberFormat="1" applyFont="1" applyFill="1" applyBorder="1" applyAlignment="1" applyProtection="1">
      <alignment horizontal="center" vertical="center" wrapText="1"/>
    </xf>
    <xf numFmtId="178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2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67" xfId="1" applyFont="1" applyFill="1" applyBorder="1" applyAlignment="1" applyProtection="1">
      <alignment horizontal="center" vertical="center" wrapText="1"/>
      <protection locked="0"/>
    </xf>
    <xf numFmtId="0" fontId="2" fillId="0" borderId="26" xfId="1" applyFont="1" applyFill="1" applyBorder="1" applyAlignment="1" applyProtection="1">
      <alignment horizontal="center" vertical="center" wrapText="1"/>
      <protection locked="0"/>
    </xf>
    <xf numFmtId="178" fontId="2" fillId="2" borderId="37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31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2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7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3" xfId="1" applyNumberFormat="1" applyFont="1" applyFill="1" applyBorder="1" applyAlignment="1" applyProtection="1">
      <alignment horizontal="center" vertical="center" wrapText="1"/>
    </xf>
    <xf numFmtId="178" fontId="2" fillId="0" borderId="31" xfId="1" applyNumberFormat="1" applyFont="1" applyFill="1" applyBorder="1" applyAlignment="1" applyProtection="1">
      <alignment horizontal="center" vertical="center" wrapText="1"/>
    </xf>
    <xf numFmtId="178" fontId="2" fillId="0" borderId="48" xfId="1" applyNumberFormat="1" applyFont="1" applyFill="1" applyBorder="1" applyAlignment="1" applyProtection="1">
      <alignment horizontal="center" vertical="center" wrapText="1"/>
    </xf>
    <xf numFmtId="178" fontId="2" fillId="0" borderId="24" xfId="1" applyNumberFormat="1" applyFont="1" applyFill="1" applyBorder="1" applyAlignment="1" applyProtection="1">
      <alignment horizontal="center" vertical="center" wrapText="1"/>
    </xf>
    <xf numFmtId="178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48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4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5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44" xfId="1" applyFont="1" applyFill="1" applyBorder="1" applyAlignment="1" applyProtection="1">
      <alignment horizontal="center" vertical="center" wrapText="1"/>
      <protection locked="0"/>
    </xf>
    <xf numFmtId="0" fontId="9" fillId="0" borderId="27" xfId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9" fillId="0" borderId="45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Fill="1" applyBorder="1" applyAlignment="1" applyProtection="1">
      <alignment horizontal="center" vertical="center" wrapText="1"/>
      <protection locked="0"/>
    </xf>
    <xf numFmtId="0" fontId="9" fillId="0" borderId="14" xfId="1" applyFont="1" applyFill="1" applyBorder="1" applyAlignment="1" applyProtection="1">
      <alignment horizontal="center" vertical="center" wrapText="1"/>
      <protection locked="0"/>
    </xf>
    <xf numFmtId="178" fontId="2" fillId="0" borderId="63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39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178" fontId="20" fillId="2" borderId="33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37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78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48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39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16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20" fillId="2" borderId="4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80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178" fontId="3" fillId="0" borderId="80" xfId="1" applyNumberFormat="1" applyFont="1" applyFill="1" applyBorder="1" applyAlignment="1" applyProtection="1">
      <alignment horizontal="center" vertical="center" wrapText="1"/>
      <protection locked="0"/>
    </xf>
    <xf numFmtId="17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17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78" fontId="19" fillId="0" borderId="37" xfId="1" applyNumberFormat="1" applyFont="1" applyFill="1" applyBorder="1" applyAlignment="1" applyProtection="1">
      <alignment horizontal="center" vertical="center" wrapText="1"/>
      <protection locked="0"/>
    </xf>
    <xf numFmtId="178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178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19" fillId="0" borderId="40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33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37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78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48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39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16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4" xfId="1" applyNumberFormat="1" applyFont="1" applyFill="1" applyBorder="1" applyAlignment="1" applyProtection="1">
      <alignment horizontal="center" vertical="center" wrapText="1"/>
      <protection locked="0"/>
    </xf>
    <xf numFmtId="178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78" fontId="17" fillId="2" borderId="33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37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78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48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0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39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16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4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178" fontId="16" fillId="0" borderId="40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33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37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78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48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0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39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16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15" fillId="2" borderId="4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7" xfId="1" applyNumberFormat="1" applyFont="1" applyFill="1" applyBorder="1" applyAlignment="1" applyProtection="1">
      <alignment horizontal="center" vertical="center" wrapText="1"/>
    </xf>
    <xf numFmtId="178" fontId="3" fillId="2" borderId="49" xfId="1" applyNumberFormat="1" applyFont="1" applyFill="1" applyBorder="1" applyAlignment="1" applyProtection="1">
      <alignment horizontal="center" vertical="center" wrapText="1"/>
    </xf>
    <xf numFmtId="178" fontId="3" fillId="2" borderId="12" xfId="1" applyNumberFormat="1" applyFont="1" applyFill="1" applyBorder="1" applyAlignment="1" applyProtection="1">
      <alignment horizontal="center" vertical="center" wrapText="1"/>
    </xf>
    <xf numFmtId="178" fontId="2" fillId="4" borderId="32" xfId="1" applyNumberFormat="1" applyFont="1" applyFill="1" applyBorder="1" applyAlignment="1" applyProtection="1">
      <alignment horizontal="center" vertical="center" wrapText="1"/>
    </xf>
    <xf numFmtId="178" fontId="2" fillId="4" borderId="18" xfId="1" applyNumberFormat="1" applyFont="1" applyFill="1" applyBorder="1" applyAlignment="1" applyProtection="1">
      <alignment horizontal="center" vertical="center" wrapText="1"/>
    </xf>
    <xf numFmtId="178" fontId="2" fillId="4" borderId="20" xfId="1" applyNumberFormat="1" applyFont="1" applyFill="1" applyBorder="1" applyAlignment="1" applyProtection="1">
      <alignment horizontal="center" vertical="center" wrapText="1"/>
    </xf>
    <xf numFmtId="178" fontId="2" fillId="2" borderId="33" xfId="1" applyNumberFormat="1" applyFont="1" applyFill="1" applyBorder="1" applyAlignment="1" applyProtection="1">
      <alignment horizontal="center" vertical="center" wrapText="1"/>
    </xf>
    <xf numFmtId="178" fontId="2" fillId="2" borderId="31" xfId="1" applyNumberFormat="1" applyFont="1" applyFill="1" applyBorder="1" applyAlignment="1" applyProtection="1">
      <alignment horizontal="center" vertical="center" wrapText="1"/>
    </xf>
    <xf numFmtId="178" fontId="2" fillId="2" borderId="48" xfId="1" applyNumberFormat="1" applyFont="1" applyFill="1" applyBorder="1" applyAlignment="1" applyProtection="1">
      <alignment horizontal="center" vertical="center" wrapText="1"/>
    </xf>
    <xf numFmtId="178" fontId="2" fillId="2" borderId="24" xfId="1" applyNumberFormat="1" applyFont="1" applyFill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78" fontId="3" fillId="2" borderId="38" xfId="1" applyNumberFormat="1" applyFont="1" applyFill="1" applyBorder="1" applyAlignment="1" applyProtection="1">
      <alignment horizontal="center" vertical="center" wrapText="1"/>
      <protection locked="0"/>
    </xf>
    <xf numFmtId="178" fontId="3" fillId="2" borderId="22" xfId="1" applyNumberFormat="1" applyFont="1" applyFill="1" applyBorder="1" applyAlignment="1" applyProtection="1">
      <alignment horizontal="center" vertical="center" wrapText="1"/>
      <protection locked="0"/>
    </xf>
    <xf numFmtId="178" fontId="2" fillId="2" borderId="17" xfId="1" applyNumberFormat="1" applyFont="1" applyFill="1" applyBorder="1" applyAlignment="1" applyProtection="1">
      <alignment horizontal="center" vertical="center" wrapText="1"/>
      <protection locked="0"/>
    </xf>
    <xf numFmtId="178" fontId="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8" fontId="22" fillId="0" borderId="0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109"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/>
        <i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688;&#21439;&#23567;&#28023;&#35930;2025&#24180;3&#26376;&#20184;&#27454;&#21450;&#32467;&#23384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上旬汇总"/>
      <sheetName val="3.11"/>
      <sheetName val="3.12"/>
      <sheetName val="3.13"/>
      <sheetName val="3.14"/>
      <sheetName val="3.15"/>
      <sheetName val="3.16"/>
      <sheetName val="3.17"/>
      <sheetName val="3.18"/>
      <sheetName val="3.19"/>
      <sheetName val="3.20"/>
      <sheetName val="中旬汇总"/>
      <sheetName val="3.21"/>
      <sheetName val="3.22"/>
      <sheetName val="3.23"/>
      <sheetName val="3.24"/>
      <sheetName val="3.25"/>
      <sheetName val="3.26"/>
      <sheetName val="3.27"/>
      <sheetName val="3.28"/>
      <sheetName val="3.29"/>
      <sheetName val="3.30"/>
      <sheetName val="3.31"/>
      <sheetName val="下旬汇总"/>
      <sheetName val="月汇总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O1">
            <v>45747</v>
          </cell>
        </row>
        <row r="6">
          <cell r="K6">
            <v>3577.58</v>
          </cell>
          <cell r="AK6">
            <v>0</v>
          </cell>
        </row>
        <row r="7">
          <cell r="K7">
            <v>1599</v>
          </cell>
        </row>
        <row r="8">
          <cell r="AQ8">
            <v>194683.04</v>
          </cell>
        </row>
        <row r="9">
          <cell r="K9">
            <v>5176.5800000000499</v>
          </cell>
          <cell r="P9">
            <v>31767.630000000099</v>
          </cell>
          <cell r="U9">
            <v>220.359999999998</v>
          </cell>
          <cell r="Z9">
            <v>727390.9</v>
          </cell>
          <cell r="AF9">
            <v>0</v>
          </cell>
          <cell r="AK9">
            <v>-1.13686837721616E-13</v>
          </cell>
        </row>
        <row r="12">
          <cell r="AK12">
            <v>287.2</v>
          </cell>
          <cell r="AQ12">
            <v>893299.07</v>
          </cell>
        </row>
        <row r="14">
          <cell r="AQ14">
            <v>93822.86</v>
          </cell>
        </row>
        <row r="16">
          <cell r="AQ16">
            <v>0</v>
          </cell>
        </row>
        <row r="18">
          <cell r="AQ18">
            <v>0</v>
          </cell>
        </row>
        <row r="19">
          <cell r="K19">
            <v>146912.10999999999</v>
          </cell>
          <cell r="S19">
            <v>11585.8</v>
          </cell>
        </row>
        <row r="20">
          <cell r="K20">
            <v>221277.27</v>
          </cell>
          <cell r="AQ20">
            <v>0</v>
          </cell>
        </row>
        <row r="21">
          <cell r="K21">
            <v>138356.84</v>
          </cell>
        </row>
        <row r="22">
          <cell r="K22">
            <v>168878.65</v>
          </cell>
          <cell r="AQ22">
            <v>0</v>
          </cell>
        </row>
        <row r="23">
          <cell r="K23">
            <v>59382.51</v>
          </cell>
          <cell r="S23">
            <v>13878.9</v>
          </cell>
        </row>
        <row r="24">
          <cell r="K24">
            <v>138117.72</v>
          </cell>
          <cell r="AQ24">
            <v>0</v>
          </cell>
        </row>
        <row r="25">
          <cell r="K25">
            <v>111180</v>
          </cell>
        </row>
        <row r="26">
          <cell r="K26">
            <v>11601.92</v>
          </cell>
          <cell r="S26">
            <v>9602.6</v>
          </cell>
          <cell r="AQ26">
            <v>0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8"/>
  <sheetViews>
    <sheetView topLeftCell="I1" workbookViewId="0">
      <selection activeCell="X19" sqref="X19:AL22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45" width="9" style="27"/>
    <col min="46" max="46" width="10.375" style="27"/>
    <col min="47" max="16384" width="9" style="27"/>
  </cols>
  <sheetData>
    <row r="1" spans="1:45" ht="13.5" customHeight="1">
      <c r="A1" s="34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'[1]3.31'!$AO$1:$AS$2+1</f>
        <v>45748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71870.17</v>
      </c>
      <c r="D6" s="158">
        <v>4359.8900000000003</v>
      </c>
      <c r="E6" s="34">
        <f>'[1]3.31'!$K$6</f>
        <v>3577.58</v>
      </c>
      <c r="F6" s="159">
        <v>19459.55</v>
      </c>
      <c r="G6" s="303">
        <v>92.8</v>
      </c>
      <c r="H6" s="306">
        <f>H12+I12+J12</f>
        <v>0.09</v>
      </c>
      <c r="I6" s="303">
        <v>37017.230000000003</v>
      </c>
      <c r="J6" s="306">
        <f>H11+I11+J11</f>
        <v>37.299999999999997</v>
      </c>
      <c r="K6" s="158">
        <v>834.71</v>
      </c>
      <c r="L6" s="312"/>
      <c r="M6" s="164">
        <v>2232.94</v>
      </c>
      <c r="N6" s="306">
        <f>M9-R6</f>
        <v>3597.32</v>
      </c>
      <c r="O6" s="313">
        <f>P11+P12+P13</f>
        <v>0</v>
      </c>
      <c r="P6" s="315"/>
      <c r="Q6" s="316"/>
      <c r="R6" s="306">
        <f>R11+S11+T11+U11</f>
        <v>894.92</v>
      </c>
      <c r="S6" s="306">
        <f>R12+S12+T12+U12</f>
        <v>1071.6099999999999</v>
      </c>
      <c r="T6" s="306">
        <f>R13+S13+T13+U13</f>
        <v>3.87</v>
      </c>
      <c r="U6" s="320"/>
      <c r="V6" s="312"/>
      <c r="W6" s="77"/>
      <c r="X6" s="179">
        <v>18160.96</v>
      </c>
      <c r="Y6" s="303"/>
      <c r="Z6" s="327"/>
      <c r="AA6" s="189"/>
      <c r="AB6" s="331"/>
      <c r="AC6" s="190"/>
      <c r="AD6" s="303"/>
      <c r="AE6" s="303"/>
      <c r="AF6" s="334"/>
      <c r="AG6" s="113">
        <f>'[1]3.31'!$AK$6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1181804.97</v>
      </c>
      <c r="AN6" s="119">
        <f>AN8+AN10</f>
        <v>61712.01</v>
      </c>
      <c r="AO6" s="119">
        <f t="shared" ref="AO6:AP6" si="0">AO8+AO10</f>
        <v>0</v>
      </c>
      <c r="AP6" s="119">
        <f t="shared" si="0"/>
        <v>50068</v>
      </c>
      <c r="AQ6" s="147">
        <f>AM6+AN6+AO6-AP6</f>
        <v>1193448.98</v>
      </c>
      <c r="AR6" s="138">
        <f>AR8+AR10</f>
        <v>1193448.98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15401</v>
      </c>
      <c r="D7" s="160"/>
      <c r="E7" s="34">
        <f>'[1]3.31'!$K$7</f>
        <v>1599</v>
      </c>
      <c r="F7" s="161">
        <v>13311</v>
      </c>
      <c r="G7" s="304"/>
      <c r="H7" s="307"/>
      <c r="I7" s="304"/>
      <c r="J7" s="307"/>
      <c r="K7" s="168"/>
      <c r="L7" s="312"/>
      <c r="M7" s="169">
        <v>2090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15401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204.3</v>
      </c>
      <c r="D8" s="162"/>
      <c r="E8" s="34">
        <f>'[1]3.31'!$K$8</f>
        <v>0</v>
      </c>
      <c r="F8" s="163">
        <v>35</v>
      </c>
      <c r="G8" s="305"/>
      <c r="H8" s="308"/>
      <c r="I8" s="305"/>
      <c r="J8" s="308"/>
      <c r="K8" s="162"/>
      <c r="L8" s="312"/>
      <c r="M8" s="170">
        <v>169.3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'[1]3.31'!$AQ$8</f>
        <v>194683.04</v>
      </c>
      <c r="AN8" s="122">
        <f>I6+AJ6+AL9+P11+AJ12+AJ9+AD9</f>
        <v>60603.1</v>
      </c>
      <c r="AO8" s="202"/>
      <c r="AP8" s="202"/>
      <c r="AQ8" s="151">
        <f>AM8+AN8+AO8-AP8</f>
        <v>255286.14</v>
      </c>
      <c r="AR8" s="203">
        <v>255286.14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87475.47</v>
      </c>
      <c r="D9" s="44">
        <f t="shared" ref="D9:F9" si="1">D6+D7+D8</f>
        <v>4359.8900000000003</v>
      </c>
      <c r="E9" s="45">
        <f>'[1]3.31'!$K$9</f>
        <v>5176.5800000000499</v>
      </c>
      <c r="F9" s="32">
        <f t="shared" si="1"/>
        <v>32805.550000000003</v>
      </c>
      <c r="G9" s="32">
        <f>G6</f>
        <v>92.8</v>
      </c>
      <c r="H9" s="32">
        <f>H6</f>
        <v>0.09</v>
      </c>
      <c r="I9" s="32">
        <f>I6</f>
        <v>37017.230000000003</v>
      </c>
      <c r="J9" s="32">
        <f>J6</f>
        <v>37.299999999999997</v>
      </c>
      <c r="K9" s="65">
        <f>E9+F9-G9-H9-I9-J9</f>
        <v>834.71000000005301</v>
      </c>
      <c r="L9" s="66">
        <f>'[1]3.31'!$P$9</f>
        <v>31767.630000000099</v>
      </c>
      <c r="M9" s="32">
        <f>M6+M7+M8</f>
        <v>4492.24</v>
      </c>
      <c r="N9" s="32">
        <f>N6</f>
        <v>3597.32</v>
      </c>
      <c r="O9" s="32">
        <f>O6</f>
        <v>0</v>
      </c>
      <c r="P9" s="65">
        <f>L9+N9-O9+L11-L13</f>
        <v>35273.950000000099</v>
      </c>
      <c r="Q9" s="34">
        <f>'[1]3.31'!$U$9</f>
        <v>220.359999999998</v>
      </c>
      <c r="R9" s="32">
        <f>R6</f>
        <v>894.92</v>
      </c>
      <c r="S9" s="32">
        <f>S6</f>
        <v>1071.6099999999999</v>
      </c>
      <c r="T9" s="32">
        <f>T6</f>
        <v>3.87</v>
      </c>
      <c r="U9" s="65">
        <f>Q9+R9-S9-T9</f>
        <v>39.799999999998001</v>
      </c>
      <c r="V9" s="66">
        <f>'[1]3.31'!$Z$9</f>
        <v>727390.9</v>
      </c>
      <c r="W9" s="32">
        <f>W7</f>
        <v>15401</v>
      </c>
      <c r="X9" s="32">
        <f>X6+X8</f>
        <v>18160.96</v>
      </c>
      <c r="Y9" s="32">
        <f>Y6</f>
        <v>0</v>
      </c>
      <c r="Z9" s="102">
        <f>V9+W9-X9-Y9-AA9</f>
        <v>724630.94</v>
      </c>
      <c r="AA9" s="103">
        <f>AA6+AA8</f>
        <v>0</v>
      </c>
      <c r="AB9" s="104">
        <f>'[1]3.31'!$AF$9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'[1]3.31'!$AK$9</f>
        <v>-1.13686837721616E-13</v>
      </c>
      <c r="AH9" s="199">
        <v>350</v>
      </c>
      <c r="AI9" s="199">
        <v>22.05</v>
      </c>
      <c r="AJ9" s="199">
        <v>327.95</v>
      </c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987121.93</v>
      </c>
      <c r="AN10" s="130">
        <f t="shared" si="2"/>
        <v>1108.9100000000001</v>
      </c>
      <c r="AO10" s="43">
        <f t="shared" si="2"/>
        <v>0</v>
      </c>
      <c r="AP10" s="43">
        <f t="shared" si="2"/>
        <v>50068</v>
      </c>
      <c r="AQ10" s="53">
        <f t="shared" si="2"/>
        <v>938162.84</v>
      </c>
      <c r="AR10" s="154">
        <f t="shared" si="2"/>
        <v>938162.84</v>
      </c>
      <c r="AS10" s="155">
        <f>ROUND(AR10-AQ10,2)</f>
        <v>0</v>
      </c>
    </row>
    <row r="11" spans="1:45" ht="18" customHeight="1">
      <c r="A11" s="266">
        <v>71870.09</v>
      </c>
      <c r="B11" s="266"/>
      <c r="C11" s="165"/>
      <c r="D11" s="297"/>
      <c r="E11" s="264"/>
      <c r="F11" s="358"/>
      <c r="G11" s="49" t="s">
        <v>76</v>
      </c>
      <c r="H11" s="166">
        <v>37.299999999999997</v>
      </c>
      <c r="I11" s="172"/>
      <c r="J11" s="173"/>
      <c r="K11" s="72">
        <f>ROUND(K6+K7+K8-K9,2)</f>
        <v>0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>
        <v>894.92</v>
      </c>
      <c r="T11" s="183"/>
      <c r="U11" s="184"/>
      <c r="V11" s="350"/>
      <c r="W11" s="351"/>
      <c r="X11" s="294"/>
      <c r="Y11" s="294"/>
      <c r="Z11" s="330"/>
      <c r="AA11" s="175">
        <v>724630.94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>
        <v>0.09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1071.6099999999999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'[1]3.31'!$AK$12</f>
        <v>287.2</v>
      </c>
      <c r="AH12" s="194">
        <v>27306.83</v>
      </c>
      <c r="AI12" s="132">
        <f>AG12+AH12-AJ12-AK12</f>
        <v>3905.31</v>
      </c>
      <c r="AJ12" s="194">
        <v>23257.919999999998</v>
      </c>
      <c r="AK12" s="207">
        <v>430.8</v>
      </c>
      <c r="AL12" s="340"/>
      <c r="AM12" s="134">
        <f>'[1]3.31'!$AQ$12</f>
        <v>893299.07</v>
      </c>
      <c r="AN12" s="38">
        <f>H11+P12+R12</f>
        <v>37.299999999999997</v>
      </c>
      <c r="AO12" s="166"/>
      <c r="AP12" s="166">
        <v>47590</v>
      </c>
      <c r="AQ12" s="32">
        <f>AM12+AN12+AO12-AP12</f>
        <v>845746.37</v>
      </c>
      <c r="AR12" s="166">
        <v>845746.37</v>
      </c>
      <c r="AS12" s="155">
        <f>ROUND(AR12-AQ12,2)</f>
        <v>0</v>
      </c>
    </row>
    <row r="13" spans="1:45" ht="27" customHeight="1">
      <c r="A13" s="361"/>
      <c r="B13" s="361"/>
      <c r="C13" s="53">
        <f>ROUND(C6-A11,2)</f>
        <v>0.08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91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3.87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102</v>
      </c>
      <c r="M14" s="269"/>
      <c r="N14" s="269"/>
      <c r="O14" s="269"/>
      <c r="P14" s="269"/>
      <c r="Q14" s="91" t="s">
        <v>103</v>
      </c>
      <c r="R14" s="185"/>
      <c r="S14" s="186">
        <v>39.799999999999997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350</v>
      </c>
      <c r="AK14" s="138">
        <f>IF(AJ14-AH9&gt;0,AJ14-AH9,IF(AJ14-AH9&lt;=0,0))</f>
        <v>0</v>
      </c>
      <c r="AL14" s="139">
        <f>IF(AH9-AJ14&gt;0,AH9-AJ14,IF(AJ14-AH9&lt;=0,0))</f>
        <v>0</v>
      </c>
      <c r="AM14" s="66">
        <f>'[1]3.31'!$AQ$14</f>
        <v>93822.86</v>
      </c>
      <c r="AN14" s="38">
        <f>I11+P13+S12</f>
        <v>1071.6099999999999</v>
      </c>
      <c r="AO14" s="181"/>
      <c r="AP14" s="181">
        <v>2478</v>
      </c>
      <c r="AQ14" s="32">
        <f>AM14+AN14+AO14-AP14</f>
        <v>92416.47</v>
      </c>
      <c r="AR14" s="181">
        <v>92416.47</v>
      </c>
      <c r="AS14" s="155">
        <f>ROUND(AR14-AQ14,2)</f>
        <v>0</v>
      </c>
    </row>
    <row r="15" spans="1:45" ht="18" customHeight="1">
      <c r="A15" s="371" t="s">
        <v>104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'[1]3.31'!$AQ$16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'[1]3.31'!$AQ$18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'[1]3.31'!$S$19</f>
        <v>11585.8</v>
      </c>
      <c r="D19" s="277"/>
      <c r="E19" s="267">
        <v>24897</v>
      </c>
      <c r="F19" s="267"/>
      <c r="G19" s="46" t="s">
        <v>139</v>
      </c>
      <c r="H19" s="58">
        <f>'[1]3.31'!$K$19</f>
        <v>146912.10999999999</v>
      </c>
      <c r="I19" s="76">
        <v>0</v>
      </c>
      <c r="J19" s="49">
        <v>0</v>
      </c>
      <c r="K19" s="49">
        <v>148578.26999999999</v>
      </c>
      <c r="L19" s="49">
        <v>0</v>
      </c>
      <c r="M19" s="277">
        <f>IF(I19=J19=0,K19-H19-L19,IF(I19&gt;J19&gt;0,I19-H19+K19-J19-L19))</f>
        <v>1666.16</v>
      </c>
      <c r="N19" s="277"/>
      <c r="O19" s="362">
        <f>M19+M20+M21+M22</f>
        <v>7135.1200000000199</v>
      </c>
      <c r="P19" s="363"/>
      <c r="Q19" s="362">
        <f>C19+E19-O19</f>
        <v>29347.68</v>
      </c>
      <c r="R19" s="363"/>
      <c r="S19" s="366">
        <v>28554.400000000001</v>
      </c>
      <c r="T19" s="357"/>
      <c r="U19" s="323">
        <f>S19-Q19</f>
        <v>-793.27999999997701</v>
      </c>
      <c r="V19" s="323">
        <f>S19-Q19</f>
        <v>-793.27999999997701</v>
      </c>
      <c r="W19" s="325">
        <v>7.18</v>
      </c>
      <c r="X19" s="384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6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/>
      <c r="D20" s="277"/>
      <c r="E20" s="267"/>
      <c r="F20" s="267"/>
      <c r="G20" s="46" t="s">
        <v>147</v>
      </c>
      <c r="H20" s="58">
        <f>'[1]3.31'!$K$20</f>
        <v>221277.27</v>
      </c>
      <c r="I20" s="76"/>
      <c r="J20" s="49"/>
      <c r="K20" s="49">
        <v>223713.97</v>
      </c>
      <c r="L20" s="178"/>
      <c r="M20" s="277">
        <f t="shared" ref="M20:M26" si="3">IF(I20=J20=0,K20-H20-L20,IF(I20&gt;J20&gt;0,I20-H20+K20-J20-L20))</f>
        <v>2436.7000000000098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87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9"/>
      <c r="AM20" s="142">
        <f>'[1]3.31'!$AQ$20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/>
      <c r="D21" s="277"/>
      <c r="E21" s="267"/>
      <c r="F21" s="267"/>
      <c r="G21" s="46" t="s">
        <v>148</v>
      </c>
      <c r="H21" s="58">
        <f>'[1]3.31'!$K$21</f>
        <v>138356.84</v>
      </c>
      <c r="I21" s="76"/>
      <c r="J21" s="49"/>
      <c r="K21" s="49">
        <v>139800.26999999999</v>
      </c>
      <c r="L21" s="178"/>
      <c r="M21" s="277">
        <f t="shared" si="3"/>
        <v>1443.4299999999901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87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9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/>
      <c r="D22" s="277"/>
      <c r="E22" s="267"/>
      <c r="F22" s="267"/>
      <c r="G22" s="46" t="s">
        <v>156</v>
      </c>
      <c r="H22" s="58">
        <f>'[1]3.31'!$K$22</f>
        <v>168878.65</v>
      </c>
      <c r="I22" s="76"/>
      <c r="J22" s="49"/>
      <c r="K22" s="49">
        <v>170467.48</v>
      </c>
      <c r="L22" s="178"/>
      <c r="M22" s="277">
        <f t="shared" si="3"/>
        <v>1588.8300000000199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390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2"/>
      <c r="AM22" s="145">
        <f>'[1]3.31'!$AQ$22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'[1]3.31'!$S$23</f>
        <v>13878.9</v>
      </c>
      <c r="D23" s="277"/>
      <c r="E23" s="267"/>
      <c r="F23" s="267"/>
      <c r="G23" s="46" t="s">
        <v>157</v>
      </c>
      <c r="H23" s="58">
        <f>'[1]3.31'!$K$23</f>
        <v>59382.51</v>
      </c>
      <c r="I23" s="76"/>
      <c r="J23" s="49"/>
      <c r="K23" s="49">
        <v>59968.29</v>
      </c>
      <c r="L23" s="178"/>
      <c r="M23" s="277">
        <f t="shared" si="3"/>
        <v>585.77999999999895</v>
      </c>
      <c r="N23" s="277"/>
      <c r="O23" s="277">
        <f>M23+M24+M25</f>
        <v>2310.5699999999902</v>
      </c>
      <c r="P23" s="277"/>
      <c r="Q23" s="277">
        <f>C23+E23-O23</f>
        <v>11568.33</v>
      </c>
      <c r="R23" s="277"/>
      <c r="S23" s="267">
        <v>9035</v>
      </c>
      <c r="T23" s="267"/>
      <c r="U23" s="277">
        <f>S23-Q23</f>
        <v>-2533.3300000000099</v>
      </c>
      <c r="V23" s="277">
        <f>S23-Q23</f>
        <v>-2533.3300000000099</v>
      </c>
      <c r="W23" s="267">
        <v>7.58</v>
      </c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/>
      <c r="D24" s="277"/>
      <c r="E24" s="267"/>
      <c r="F24" s="267"/>
      <c r="G24" s="46" t="s">
        <v>137</v>
      </c>
      <c r="H24" s="58">
        <f>'[1]3.31'!$K$24</f>
        <v>138117.72</v>
      </c>
      <c r="I24" s="76"/>
      <c r="J24" s="49"/>
      <c r="K24" s="49">
        <v>138942.21</v>
      </c>
      <c r="L24" s="178"/>
      <c r="M24" s="277">
        <f t="shared" si="3"/>
        <v>824.48999999999103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'[1]3.31'!$AQ$24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/>
      <c r="D25" s="277"/>
      <c r="E25" s="267"/>
      <c r="F25" s="267"/>
      <c r="G25" s="46" t="s">
        <v>166</v>
      </c>
      <c r="H25" s="58">
        <f>'[1]3.31'!$K$25</f>
        <v>111180</v>
      </c>
      <c r="I25" s="76"/>
      <c r="J25" s="49"/>
      <c r="K25" s="49">
        <v>112080.3</v>
      </c>
      <c r="L25" s="178"/>
      <c r="M25" s="277">
        <f t="shared" si="3"/>
        <v>900.30000000000302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'[1]3.31'!$S$26</f>
        <v>9602.6</v>
      </c>
      <c r="D26" s="277"/>
      <c r="E26" s="278"/>
      <c r="F26" s="279"/>
      <c r="G26" s="28" t="s">
        <v>175</v>
      </c>
      <c r="H26" s="58">
        <f>'[1]3.31'!$K$26</f>
        <v>11601.92</v>
      </c>
      <c r="I26" s="76"/>
      <c r="J26" s="49"/>
      <c r="K26" s="49">
        <v>12057.74</v>
      </c>
      <c r="L26" s="178"/>
      <c r="M26" s="277">
        <f t="shared" si="3"/>
        <v>455.82</v>
      </c>
      <c r="N26" s="277"/>
      <c r="O26" s="277">
        <f>M26</f>
        <v>455.82</v>
      </c>
      <c r="P26" s="277"/>
      <c r="Q26" s="277">
        <f>C26+E26-O26</f>
        <v>9146.7800000000007</v>
      </c>
      <c r="R26" s="277"/>
      <c r="S26" s="267">
        <v>11885.8</v>
      </c>
      <c r="T26" s="267"/>
      <c r="U26" s="53">
        <f>S26-Q26</f>
        <v>2739.02</v>
      </c>
      <c r="V26" s="53">
        <f>S26-Q26</f>
        <v>2739.02</v>
      </c>
      <c r="W26" s="178">
        <v>6.87</v>
      </c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'[1]3.31'!$AQ$26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5">
      <c r="I28" s="27" t="s">
        <v>176</v>
      </c>
      <c r="J28" s="27" t="s">
        <v>176</v>
      </c>
      <c r="K28" s="27" t="s">
        <v>176</v>
      </c>
    </row>
  </sheetData>
  <sheetProtection formatCells="0" formatColumns="0" formatRows="0"/>
  <mergeCells count="145">
    <mergeCell ref="AO1:AS2"/>
    <mergeCell ref="A1:AN2"/>
    <mergeCell ref="A3:B5"/>
    <mergeCell ref="C17:D18"/>
    <mergeCell ref="E17:F18"/>
    <mergeCell ref="Q17:R18"/>
    <mergeCell ref="S17:T18"/>
    <mergeCell ref="E10:F14"/>
    <mergeCell ref="X23:AL25"/>
    <mergeCell ref="C23:D25"/>
    <mergeCell ref="E23:F25"/>
    <mergeCell ref="O23:P25"/>
    <mergeCell ref="Q23:R25"/>
    <mergeCell ref="S23:T25"/>
    <mergeCell ref="C19:D22"/>
    <mergeCell ref="E19:F22"/>
    <mergeCell ref="O19:P22"/>
    <mergeCell ref="Q19:R22"/>
    <mergeCell ref="S19:T22"/>
    <mergeCell ref="AB10:AF14"/>
    <mergeCell ref="A15:AL16"/>
    <mergeCell ref="V10:W13"/>
    <mergeCell ref="X17:AL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X19:AL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108" priority="1" operator="notEqual">
      <formula>0</formula>
    </cfRule>
  </conditionalFormatting>
  <conditionalFormatting sqref="W14">
    <cfRule type="cellIs" dxfId="107" priority="2" operator="notEqual">
      <formula>0</formula>
    </cfRule>
  </conditionalFormatting>
  <conditionalFormatting sqref="AS14 AS16 AS18 AS20 AS22 AS24 AS26 AS12 K11 AS6 AS8 AS10 AA13">
    <cfRule type="cellIs" dxfId="106" priority="8" operator="notEqual">
      <formula>0</formula>
    </cfRule>
  </conditionalFormatting>
  <dataValidations count="1">
    <dataValidation type="custom" allowBlank="1" showInputMessage="1" showErrorMessage="1" sqref="A1:AS26">
      <formula1>TODAY()&lt;--"2025-4-25"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X28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1.75" style="27" customWidth="1"/>
    <col min="41" max="41" width="11.25" style="27" customWidth="1"/>
    <col min="42" max="42" width="11.5" style="27" customWidth="1"/>
    <col min="43" max="43" width="11.375" style="27" customWidth="1"/>
    <col min="44" max="44" width="9" style="27"/>
    <col min="45" max="45" width="12.375" style="27"/>
    <col min="46" max="16384" width="9" style="27"/>
  </cols>
  <sheetData>
    <row r="1" spans="1:48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400">
        <f>'4.1'!AO1:AS2+1</f>
        <v>45749</v>
      </c>
      <c r="AP1" s="400"/>
      <c r="AQ1" s="400"/>
      <c r="AR1" s="400"/>
      <c r="AS1" s="400"/>
      <c r="AT1" s="231"/>
    </row>
    <row r="2" spans="1:48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401"/>
      <c r="AP2" s="401"/>
      <c r="AQ2" s="401"/>
      <c r="AR2" s="401"/>
      <c r="AS2" s="401"/>
    </row>
    <row r="3" spans="1:48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8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8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8" ht="18" customHeight="1">
      <c r="A6" s="254" t="s">
        <v>39</v>
      </c>
      <c r="B6" s="255"/>
      <c r="C6" s="49">
        <f>D6+F6+M6+AH9+X6+AA6+AH6+AL6+C11+AH12+AC6</f>
        <v>93039.23</v>
      </c>
      <c r="D6" s="158">
        <v>6118.7</v>
      </c>
      <c r="E6" s="85">
        <f>'4.1'!K6</f>
        <v>834.71</v>
      </c>
      <c r="F6" s="159">
        <v>25546.400000000001</v>
      </c>
      <c r="G6" s="303">
        <v>90.75</v>
      </c>
      <c r="H6" s="325">
        <f>H12+I12+J12</f>
        <v>3.14</v>
      </c>
      <c r="I6" s="303">
        <v>36183.47</v>
      </c>
      <c r="J6" s="325">
        <f>H11+I11+J11</f>
        <v>1249.23</v>
      </c>
      <c r="K6" s="158">
        <v>2766.57</v>
      </c>
      <c r="L6" s="312"/>
      <c r="M6" s="164">
        <v>5020.9799999999996</v>
      </c>
      <c r="N6" s="325">
        <f>M9-R6</f>
        <v>5334.68</v>
      </c>
      <c r="O6" s="267">
        <f>P11+P12+P13</f>
        <v>0</v>
      </c>
      <c r="P6" s="315"/>
      <c r="Q6" s="316"/>
      <c r="R6" s="325">
        <f>R11+S11+T11+U11</f>
        <v>2998.3</v>
      </c>
      <c r="S6" s="325">
        <f>R12+S12+T12+U12</f>
        <v>1928.94</v>
      </c>
      <c r="T6" s="325">
        <f>R13+S13+T13+U13</f>
        <v>5.82</v>
      </c>
      <c r="U6" s="320"/>
      <c r="V6" s="312"/>
      <c r="W6" s="77"/>
      <c r="X6" s="179">
        <v>25101.43</v>
      </c>
      <c r="Y6" s="303"/>
      <c r="Z6" s="327"/>
      <c r="AA6" s="189"/>
      <c r="AB6" s="331"/>
      <c r="AC6" s="190"/>
      <c r="AD6" s="303"/>
      <c r="AE6" s="303"/>
      <c r="AF6" s="334"/>
      <c r="AG6" s="111">
        <f>'4.1'!AK6</f>
        <v>0</v>
      </c>
      <c r="AH6" s="194"/>
      <c r="AI6" s="195"/>
      <c r="AJ6" s="195"/>
      <c r="AK6" s="146">
        <f>AG6+AH6-AI6-AJ6+AH14-AI14</f>
        <v>0</v>
      </c>
      <c r="AL6" s="196"/>
      <c r="AM6" s="109">
        <f>AM8+AM10</f>
        <v>1193448.98</v>
      </c>
      <c r="AN6" s="215">
        <f>AN8+AN10</f>
        <v>65891.12</v>
      </c>
      <c r="AO6" s="215">
        <f t="shared" ref="AO6:AP6" si="0">AO8+AO10</f>
        <v>0</v>
      </c>
      <c r="AP6" s="215">
        <f t="shared" si="0"/>
        <v>3534</v>
      </c>
      <c r="AQ6" s="110">
        <f>AM6+AN6+AO6-AP6</f>
        <v>1255806.1000000001</v>
      </c>
      <c r="AR6" s="227">
        <f>AR8+AR10</f>
        <v>1255806.1000000001</v>
      </c>
      <c r="AS6" s="232">
        <f>ROUND(AR6-AQ6,2)</f>
        <v>0</v>
      </c>
      <c r="AV6" s="233"/>
    </row>
    <row r="7" spans="1:48" ht="18" customHeight="1">
      <c r="A7" s="256" t="s">
        <v>40</v>
      </c>
      <c r="B7" s="257"/>
      <c r="C7" s="131">
        <f>D7+F7+M7+AL7+AC7</f>
        <v>19797.55</v>
      </c>
      <c r="D7" s="160"/>
      <c r="E7" s="85">
        <f>'4.1'!K7</f>
        <v>0</v>
      </c>
      <c r="F7" s="161">
        <v>16697.55</v>
      </c>
      <c r="G7" s="304"/>
      <c r="H7" s="326"/>
      <c r="I7" s="304"/>
      <c r="J7" s="326"/>
      <c r="K7" s="168">
        <v>2797</v>
      </c>
      <c r="L7" s="312"/>
      <c r="M7" s="169">
        <v>3100</v>
      </c>
      <c r="N7" s="326"/>
      <c r="O7" s="398"/>
      <c r="P7" s="315"/>
      <c r="Q7" s="317"/>
      <c r="R7" s="326"/>
      <c r="S7" s="326"/>
      <c r="T7" s="326"/>
      <c r="U7" s="321"/>
      <c r="V7" s="312"/>
      <c r="W7" s="37">
        <f>C7</f>
        <v>19797.55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8" ht="18" customHeight="1">
      <c r="A8" s="260" t="s">
        <v>49</v>
      </c>
      <c r="B8" s="261"/>
      <c r="C8" s="49">
        <f>D8+F8+M8+X8+AA8+AL8+AC8</f>
        <v>223.5</v>
      </c>
      <c r="D8" s="162"/>
      <c r="E8" s="85">
        <f>'4.1'!K8</f>
        <v>0</v>
      </c>
      <c r="F8" s="163">
        <v>11.5</v>
      </c>
      <c r="G8" s="305"/>
      <c r="H8" s="397"/>
      <c r="I8" s="305"/>
      <c r="J8" s="397"/>
      <c r="K8" s="162"/>
      <c r="L8" s="312"/>
      <c r="M8" s="170">
        <v>212</v>
      </c>
      <c r="N8" s="397"/>
      <c r="O8" s="267"/>
      <c r="P8" s="315"/>
      <c r="Q8" s="318"/>
      <c r="R8" s="397"/>
      <c r="S8" s="397"/>
      <c r="T8" s="397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09">
        <f>'4.1'!AQ8</f>
        <v>255286.14</v>
      </c>
      <c r="AN8" s="216">
        <f>I6+AJ6+AL9+P11+AJ12+AJ9+AD9</f>
        <v>62712.95</v>
      </c>
      <c r="AO8" s="202"/>
      <c r="AP8" s="202"/>
      <c r="AQ8" s="234">
        <f>AM8+AN8+AO8-AP8</f>
        <v>317999.09000000003</v>
      </c>
      <c r="AR8" s="203">
        <v>317999.09000000003</v>
      </c>
      <c r="AS8" s="232">
        <f t="shared" ref="AS8:AS12" si="1">ROUND(AR8-AQ8,2)</f>
        <v>0</v>
      </c>
      <c r="AV8" s="233"/>
    </row>
    <row r="9" spans="1:48" ht="18" customHeight="1">
      <c r="A9" s="250" t="s">
        <v>50</v>
      </c>
      <c r="B9" s="262"/>
      <c r="C9" s="49">
        <f>C6+C7+C8</f>
        <v>113060.28</v>
      </c>
      <c r="D9" s="211">
        <f t="shared" ref="D9:F9" si="2">D6+D7+D8</f>
        <v>6118.7</v>
      </c>
      <c r="E9" s="31">
        <f>'4.1'!K9</f>
        <v>834.71000000005301</v>
      </c>
      <c r="F9" s="49">
        <f t="shared" si="2"/>
        <v>42255.45</v>
      </c>
      <c r="G9" s="49">
        <f>G6</f>
        <v>90.75</v>
      </c>
      <c r="H9" s="49">
        <f>H6</f>
        <v>3.14</v>
      </c>
      <c r="I9" s="49">
        <f>I6</f>
        <v>36183.47</v>
      </c>
      <c r="J9" s="49">
        <f>J6</f>
        <v>1249.23</v>
      </c>
      <c r="K9" s="84">
        <f>E9+F9-G9-H9-I9-J9</f>
        <v>5563.5700000000497</v>
      </c>
      <c r="L9" s="212">
        <f>'4.1'!P9</f>
        <v>35273.950000000099</v>
      </c>
      <c r="M9" s="49">
        <f>M6+M7+M8</f>
        <v>8332.98</v>
      </c>
      <c r="N9" s="49">
        <f>N6</f>
        <v>5334.68</v>
      </c>
      <c r="O9" s="49">
        <f>O6</f>
        <v>0</v>
      </c>
      <c r="P9" s="84">
        <f>L9+N9-O9+L11-L13</f>
        <v>40449.630000000099</v>
      </c>
      <c r="Q9" s="85">
        <f>'4.1'!U9</f>
        <v>39.799999999998001</v>
      </c>
      <c r="R9" s="49">
        <f>R6</f>
        <v>2998.3</v>
      </c>
      <c r="S9" s="49">
        <f>S6</f>
        <v>1928.94</v>
      </c>
      <c r="T9" s="49">
        <f>T6</f>
        <v>5.82</v>
      </c>
      <c r="U9" s="84">
        <f>Q9+R9-S9-T9</f>
        <v>1103.3399999999999</v>
      </c>
      <c r="V9" s="212">
        <f>'4.1'!Z9</f>
        <v>724630.94</v>
      </c>
      <c r="W9" s="49">
        <f>W7</f>
        <v>19797.55</v>
      </c>
      <c r="X9" s="49">
        <f>X6+X8</f>
        <v>25101.43</v>
      </c>
      <c r="Y9" s="49">
        <f>Y6</f>
        <v>0</v>
      </c>
      <c r="Z9" s="95">
        <f>V9+W9-X9-Y9-AA9</f>
        <v>719327.06</v>
      </c>
      <c r="AA9" s="214">
        <f>AA6+AA8</f>
        <v>0</v>
      </c>
      <c r="AB9" s="76">
        <f>'4.1'!AF9</f>
        <v>0</v>
      </c>
      <c r="AC9" s="76">
        <f>AC6+AC7+AC8</f>
        <v>0</v>
      </c>
      <c r="AD9" s="76">
        <f>AD6</f>
        <v>0</v>
      </c>
      <c r="AE9" s="76">
        <f>AE6</f>
        <v>0</v>
      </c>
      <c r="AF9" s="76">
        <f>AB9+AC9-AD9-AE9</f>
        <v>0</v>
      </c>
      <c r="AG9" s="48">
        <f>'4.1'!AK9</f>
        <v>0</v>
      </c>
      <c r="AH9" s="217">
        <v>811</v>
      </c>
      <c r="AI9" s="217">
        <v>51.1</v>
      </c>
      <c r="AJ9" s="217">
        <v>759.9</v>
      </c>
      <c r="AK9" s="218">
        <f>AG9+AH9-AI9-AJ9+AK14-AL14</f>
        <v>0</v>
      </c>
      <c r="AL9" s="219">
        <f>AL6+AL7+AL8</f>
        <v>0</v>
      </c>
      <c r="AM9" s="220" t="s">
        <v>51</v>
      </c>
      <c r="AN9" s="221" t="s">
        <v>52</v>
      </c>
      <c r="AO9" s="221" t="s">
        <v>53</v>
      </c>
      <c r="AP9" s="221" t="s">
        <v>54</v>
      </c>
      <c r="AQ9" s="153" t="s">
        <v>55</v>
      </c>
      <c r="AR9" s="136" t="s">
        <v>56</v>
      </c>
      <c r="AS9" s="149" t="s">
        <v>57</v>
      </c>
    </row>
    <row r="10" spans="1:48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50"/>
      <c r="AC10" s="361"/>
      <c r="AD10" s="361"/>
      <c r="AE10" s="361"/>
      <c r="AF10" s="298"/>
      <c r="AG10" s="393" t="s">
        <v>75</v>
      </c>
      <c r="AH10" s="394"/>
      <c r="AI10" s="394"/>
      <c r="AJ10" s="394"/>
      <c r="AK10" s="395"/>
      <c r="AL10" s="399"/>
      <c r="AM10" s="222">
        <f t="shared" ref="AM10:AR10" si="3">AM12+AM14+AM16+AM18+AM20+AM22+AM24+AM26</f>
        <v>938162.84</v>
      </c>
      <c r="AN10" s="30">
        <f t="shared" si="3"/>
        <v>3178.17</v>
      </c>
      <c r="AO10" s="128">
        <f t="shared" si="3"/>
        <v>0</v>
      </c>
      <c r="AP10" s="211">
        <f t="shared" si="3"/>
        <v>3534</v>
      </c>
      <c r="AQ10" s="28">
        <f t="shared" si="3"/>
        <v>937807.01</v>
      </c>
      <c r="AR10" s="235">
        <f t="shared" si="3"/>
        <v>937807.01</v>
      </c>
      <c r="AS10" s="205">
        <f t="shared" si="1"/>
        <v>0</v>
      </c>
    </row>
    <row r="11" spans="1:48" ht="18" customHeight="1">
      <c r="A11" s="266">
        <v>94199.679999999993</v>
      </c>
      <c r="B11" s="266"/>
      <c r="C11" s="165"/>
      <c r="D11" s="297"/>
      <c r="E11" s="264"/>
      <c r="F11" s="358"/>
      <c r="G11" s="49" t="s">
        <v>76</v>
      </c>
      <c r="H11" s="166">
        <v>1249.23</v>
      </c>
      <c r="I11" s="172"/>
      <c r="J11" s="173"/>
      <c r="K11" s="36">
        <f>ROUND(K6+K7+K8-K9,2)</f>
        <v>0</v>
      </c>
      <c r="L11" s="164">
        <v>230</v>
      </c>
      <c r="M11" s="267"/>
      <c r="N11" s="267"/>
      <c r="O11" s="49" t="s">
        <v>37</v>
      </c>
      <c r="P11" s="175"/>
      <c r="Q11" s="85" t="s">
        <v>77</v>
      </c>
      <c r="R11" s="181"/>
      <c r="S11" s="182">
        <v>2998.3</v>
      </c>
      <c r="T11" s="183"/>
      <c r="U11" s="184"/>
      <c r="V11" s="350"/>
      <c r="W11" s="351"/>
      <c r="X11" s="294"/>
      <c r="Y11" s="294"/>
      <c r="Z11" s="330"/>
      <c r="AA11" s="175">
        <v>719327.06</v>
      </c>
      <c r="AB11" s="350"/>
      <c r="AC11" s="361"/>
      <c r="AD11" s="361"/>
      <c r="AE11" s="361"/>
      <c r="AF11" s="298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236" t="s">
        <v>81</v>
      </c>
      <c r="AQ11" s="131" t="s">
        <v>82</v>
      </c>
      <c r="AR11" s="68" t="s">
        <v>83</v>
      </c>
      <c r="AS11" s="69" t="s">
        <v>84</v>
      </c>
    </row>
    <row r="12" spans="1:48" ht="18" customHeight="1">
      <c r="A12" s="405" t="s">
        <v>178</v>
      </c>
      <c r="B12" s="405"/>
      <c r="C12" s="28" t="s">
        <v>86</v>
      </c>
      <c r="D12" s="298"/>
      <c r="E12" s="264"/>
      <c r="F12" s="358"/>
      <c r="G12" s="49" t="s">
        <v>21</v>
      </c>
      <c r="H12" s="166">
        <v>3.14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1928.94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50"/>
      <c r="AC12" s="361"/>
      <c r="AD12" s="361"/>
      <c r="AE12" s="361"/>
      <c r="AF12" s="298"/>
      <c r="AG12" s="223">
        <f>'4.1'!AK12</f>
        <v>430.8</v>
      </c>
      <c r="AH12" s="194">
        <v>30440.720000000001</v>
      </c>
      <c r="AI12" s="224">
        <f>AG12+AH12-AJ12-AK12</f>
        <v>3709.74</v>
      </c>
      <c r="AJ12" s="194">
        <v>25769.58</v>
      </c>
      <c r="AK12" s="207">
        <v>1392.2</v>
      </c>
      <c r="AL12" s="340"/>
      <c r="AM12" s="223">
        <f>'4.1'!AQ12</f>
        <v>845746.37</v>
      </c>
      <c r="AN12" s="225">
        <f>H11</f>
        <v>1249.23</v>
      </c>
      <c r="AO12" s="237"/>
      <c r="AP12" s="238"/>
      <c r="AQ12" s="49">
        <f>AM12+AN12+AO12-AP12</f>
        <v>846995.6</v>
      </c>
      <c r="AR12" s="166">
        <v>846995.6</v>
      </c>
      <c r="AS12" s="205">
        <f t="shared" si="1"/>
        <v>0</v>
      </c>
    </row>
    <row r="13" spans="1:48" ht="27" customHeight="1">
      <c r="A13" s="406"/>
      <c r="B13" s="406"/>
      <c r="C13" s="28">
        <f>ROUND(C6-A11,2)</f>
        <v>-1160.45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389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5.82</v>
      </c>
      <c r="T13" s="183"/>
      <c r="U13" s="184"/>
      <c r="V13" s="271"/>
      <c r="W13" s="379"/>
      <c r="X13" s="294"/>
      <c r="Y13" s="294"/>
      <c r="Z13" s="302"/>
      <c r="AA13" s="29">
        <f>ROUND(Z9-AA11,2)</f>
        <v>0</v>
      </c>
      <c r="AB13" s="350"/>
      <c r="AC13" s="361"/>
      <c r="AD13" s="361"/>
      <c r="AE13" s="361"/>
      <c r="AF13" s="361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153" t="s">
        <v>95</v>
      </c>
      <c r="AN13" s="226" t="s">
        <v>96</v>
      </c>
      <c r="AO13" s="226" t="s">
        <v>97</v>
      </c>
      <c r="AP13" s="239" t="s">
        <v>98</v>
      </c>
      <c r="AQ13" s="131" t="s">
        <v>99</v>
      </c>
      <c r="AR13" s="68" t="s">
        <v>100</v>
      </c>
      <c r="AS13" s="69" t="s">
        <v>101</v>
      </c>
    </row>
    <row r="14" spans="1:48" ht="83.1" customHeight="1">
      <c r="A14" s="407"/>
      <c r="B14" s="408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179</v>
      </c>
      <c r="M14" s="269"/>
      <c r="N14" s="269"/>
      <c r="O14" s="269"/>
      <c r="P14" s="269"/>
      <c r="Q14" s="91" t="s">
        <v>103</v>
      </c>
      <c r="R14" s="185"/>
      <c r="S14" s="186">
        <v>1103.3399999999999</v>
      </c>
      <c r="T14" s="187"/>
      <c r="U14" s="188"/>
      <c r="V14" s="93" t="s">
        <v>64</v>
      </c>
      <c r="W14" s="213">
        <f>ROUND(U9-R14-S14-T14-U14,2)</f>
        <v>0</v>
      </c>
      <c r="X14" s="271"/>
      <c r="Y14" s="272"/>
      <c r="Z14" s="272"/>
      <c r="AA14" s="273"/>
      <c r="AB14" s="271"/>
      <c r="AC14" s="272"/>
      <c r="AD14" s="272"/>
      <c r="AE14" s="272"/>
      <c r="AF14" s="272"/>
      <c r="AG14" s="208"/>
      <c r="AH14" s="227">
        <f>IF(AG14-AH6&gt;0,AG14-AH6,IF(AG14-AH6&lt;=0,0))</f>
        <v>0</v>
      </c>
      <c r="AI14" s="227">
        <f>IF(AH6-AG14&gt;0,AH6-AG14,IF(AH6-AG14&lt;=0,0))</f>
        <v>0</v>
      </c>
      <c r="AJ14" s="194">
        <v>811</v>
      </c>
      <c r="AK14" s="227">
        <f>IF(AJ14-AH9&gt;0,AJ14-AH9,IF(AJ14-AH9&lt;=0,0))</f>
        <v>0</v>
      </c>
      <c r="AL14" s="228">
        <f>IF(AH9-AJ14&gt;0,AH9-AJ14,IF(AJ14-AH9&lt;=0,0))</f>
        <v>0</v>
      </c>
      <c r="AM14" s="167">
        <f>'4.1'!AQ14</f>
        <v>92416.47</v>
      </c>
      <c r="AN14" s="225">
        <f>S12+P13</f>
        <v>1928.94</v>
      </c>
      <c r="AO14" s="240"/>
      <c r="AP14" s="241">
        <v>3534</v>
      </c>
      <c r="AQ14" s="49">
        <f>AM14+AN14+AO14-AP14</f>
        <v>90811.41</v>
      </c>
      <c r="AR14" s="181">
        <v>90811.41</v>
      </c>
      <c r="AS14" s="205">
        <f t="shared" ref="AS14:AS18" si="4">ROUND(AR14-AQ14,2)</f>
        <v>0</v>
      </c>
    </row>
    <row r="15" spans="1:48" ht="18" customHeight="1">
      <c r="A15" s="371" t="s">
        <v>180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229" t="s">
        <v>105</v>
      </c>
      <c r="AN15" s="230" t="s">
        <v>106</v>
      </c>
      <c r="AO15" s="230" t="s">
        <v>107</v>
      </c>
      <c r="AP15" s="230" t="s">
        <v>108</v>
      </c>
      <c r="AQ15" s="28" t="s">
        <v>109</v>
      </c>
      <c r="AR15" s="68" t="s">
        <v>110</v>
      </c>
      <c r="AS15" s="69" t="s">
        <v>111</v>
      </c>
    </row>
    <row r="16" spans="1:48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07">
        <f>'4.1'!AQ16</f>
        <v>0</v>
      </c>
      <c r="AN16" s="28">
        <f>J11+T12</f>
        <v>0</v>
      </c>
      <c r="AO16" s="182"/>
      <c r="AP16" s="182"/>
      <c r="AQ16" s="28">
        <f>AM16+AN16+AO16-AP16</f>
        <v>0</v>
      </c>
      <c r="AR16" s="182"/>
      <c r="AS16" s="205">
        <f t="shared" si="4"/>
        <v>0</v>
      </c>
    </row>
    <row r="17" spans="1:50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50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07">
        <f>'4.1'!AQ18</f>
        <v>0</v>
      </c>
      <c r="AN18" s="28">
        <f>U12</f>
        <v>0</v>
      </c>
      <c r="AO18" s="183"/>
      <c r="AP18" s="183"/>
      <c r="AQ18" s="28">
        <f>AM18+AN18+AO18-AP18</f>
        <v>0</v>
      </c>
      <c r="AR18" s="183"/>
      <c r="AS18" s="205">
        <f t="shared" si="4"/>
        <v>0</v>
      </c>
    </row>
    <row r="19" spans="1:50" ht="18" customHeight="1">
      <c r="A19" s="285" t="s">
        <v>137</v>
      </c>
      <c r="B19" s="291" t="s">
        <v>138</v>
      </c>
      <c r="C19" s="294">
        <f>'4.1'!Q19</f>
        <v>29347.68</v>
      </c>
      <c r="D19" s="294"/>
      <c r="E19" s="267"/>
      <c r="F19" s="267"/>
      <c r="G19" s="46" t="s">
        <v>139</v>
      </c>
      <c r="H19" s="76">
        <f>'4.1'!K19</f>
        <v>148578.26999999999</v>
      </c>
      <c r="I19" s="76"/>
      <c r="J19" s="49"/>
      <c r="K19" s="49">
        <v>150530.97</v>
      </c>
      <c r="L19" s="178"/>
      <c r="M19" s="294">
        <f>IF(I19=J19=0,K19-H19-L19,IF(I19&gt;J19&gt;0,I19-H19+K19-J19-L19))</f>
        <v>1952.70000000001</v>
      </c>
      <c r="N19" s="294"/>
      <c r="O19" s="250">
        <f>M19+M20+M21+M22</f>
        <v>9510.8799999999992</v>
      </c>
      <c r="P19" s="251"/>
      <c r="Q19" s="250">
        <f>C19+E19-O19</f>
        <v>19836.8</v>
      </c>
      <c r="R19" s="251"/>
      <c r="S19" s="366">
        <v>18904</v>
      </c>
      <c r="T19" s="357"/>
      <c r="U19" s="301">
        <f>S19-Q19</f>
        <v>-932.79999999997403</v>
      </c>
      <c r="V19" s="301">
        <f>U19-'4.1'!U19</f>
        <v>-139.519999999997</v>
      </c>
      <c r="W19" s="325"/>
      <c r="X19" s="250" t="s">
        <v>181</v>
      </c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50" ht="18" customHeight="1">
      <c r="A20" s="286"/>
      <c r="B20" s="292"/>
      <c r="C20" s="294">
        <f>'4.1'!Q20</f>
        <v>0</v>
      </c>
      <c r="D20" s="294"/>
      <c r="E20" s="267"/>
      <c r="F20" s="267"/>
      <c r="G20" s="46" t="s">
        <v>147</v>
      </c>
      <c r="H20" s="76">
        <f>'4.1'!K20</f>
        <v>223713.97</v>
      </c>
      <c r="I20" s="76"/>
      <c r="J20" s="49"/>
      <c r="K20" s="49">
        <v>226742.36</v>
      </c>
      <c r="L20" s="178"/>
      <c r="M20" s="294">
        <f t="shared" ref="M20:M26" si="5">IF(I20=J20=0,K20-H20-L20,IF(I20&gt;J20&gt;0,I20-H20+K20-J20-L20))</f>
        <v>3028.3899999999799</v>
      </c>
      <c r="N20" s="294"/>
      <c r="O20" s="360"/>
      <c r="P20" s="351"/>
      <c r="Q20" s="360"/>
      <c r="R20" s="351"/>
      <c r="S20" s="367"/>
      <c r="T20" s="358"/>
      <c r="U20" s="330"/>
      <c r="V20" s="330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07">
        <f>'4.1'!AQ20</f>
        <v>0</v>
      </c>
      <c r="AN20" s="28"/>
      <c r="AO20" s="204"/>
      <c r="AP20" s="204"/>
      <c r="AQ20" s="28">
        <f>AM20+AN20+AO20-AP20</f>
        <v>0</v>
      </c>
      <c r="AR20" s="204"/>
      <c r="AS20" s="205">
        <f t="shared" ref="AS20:AS24" si="6">ROUND(AR20-AQ20,2)</f>
        <v>0</v>
      </c>
    </row>
    <row r="21" spans="1:50" ht="18" customHeight="1">
      <c r="A21" s="286"/>
      <c r="B21" s="292"/>
      <c r="C21" s="294">
        <f>'4.1'!Q21</f>
        <v>0</v>
      </c>
      <c r="D21" s="294"/>
      <c r="E21" s="267"/>
      <c r="F21" s="267"/>
      <c r="G21" s="46" t="s">
        <v>148</v>
      </c>
      <c r="H21" s="76">
        <f>'4.1'!K21</f>
        <v>139800.26999999999</v>
      </c>
      <c r="I21" s="76"/>
      <c r="J21" s="49"/>
      <c r="K21" s="49">
        <v>141826.48000000001</v>
      </c>
      <c r="L21" s="178"/>
      <c r="M21" s="294">
        <f t="shared" si="5"/>
        <v>2026.21000000002</v>
      </c>
      <c r="N21" s="294"/>
      <c r="O21" s="360"/>
      <c r="P21" s="351"/>
      <c r="Q21" s="360"/>
      <c r="R21" s="351"/>
      <c r="S21" s="367"/>
      <c r="T21" s="358"/>
      <c r="U21" s="330"/>
      <c r="V21" s="330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50" ht="18" customHeight="1">
      <c r="A22" s="283"/>
      <c r="B22" s="293"/>
      <c r="C22" s="294">
        <f>'4.1'!Q22</f>
        <v>0</v>
      </c>
      <c r="D22" s="294"/>
      <c r="E22" s="267"/>
      <c r="F22" s="267"/>
      <c r="G22" s="46" t="s">
        <v>156</v>
      </c>
      <c r="H22" s="76">
        <f>'4.1'!K22</f>
        <v>170467.48</v>
      </c>
      <c r="I22" s="76"/>
      <c r="J22" s="49"/>
      <c r="K22" s="49">
        <v>172971.06</v>
      </c>
      <c r="L22" s="178"/>
      <c r="M22" s="294">
        <f t="shared" si="5"/>
        <v>2503.5799999999899</v>
      </c>
      <c r="N22" s="294"/>
      <c r="O22" s="360"/>
      <c r="P22" s="351"/>
      <c r="Q22" s="360"/>
      <c r="R22" s="351"/>
      <c r="S22" s="367"/>
      <c r="T22" s="358"/>
      <c r="U22" s="330"/>
      <c r="V22" s="330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46">
        <f>'4.1'!AQ22</f>
        <v>0</v>
      </c>
      <c r="AN22" s="28"/>
      <c r="AO22" s="172"/>
      <c r="AP22" s="172"/>
      <c r="AQ22" s="28">
        <f>AM22+AN22+AO22-AP22</f>
        <v>0</v>
      </c>
      <c r="AR22" s="172"/>
      <c r="AS22" s="205">
        <f t="shared" si="6"/>
        <v>0</v>
      </c>
    </row>
    <row r="23" spans="1:50" ht="18" customHeight="1">
      <c r="A23" s="287" t="s">
        <v>157</v>
      </c>
      <c r="B23" s="291" t="s">
        <v>158</v>
      </c>
      <c r="C23" s="294">
        <f>'4.1'!Q23</f>
        <v>11568.33</v>
      </c>
      <c r="D23" s="294"/>
      <c r="E23" s="267"/>
      <c r="F23" s="267"/>
      <c r="G23" s="46" t="s">
        <v>157</v>
      </c>
      <c r="H23" s="76">
        <f>'4.1'!K23</f>
        <v>59968.29</v>
      </c>
      <c r="I23" s="76"/>
      <c r="J23" s="49"/>
      <c r="K23" s="49">
        <v>60663.34</v>
      </c>
      <c r="L23" s="178"/>
      <c r="M23" s="294">
        <f t="shared" si="5"/>
        <v>695.04999999999598</v>
      </c>
      <c r="N23" s="294"/>
      <c r="O23" s="294">
        <f>M23+M24+M25</f>
        <v>2959.25000000001</v>
      </c>
      <c r="P23" s="294"/>
      <c r="Q23" s="294">
        <f>C23+E23-O23</f>
        <v>8609.08</v>
      </c>
      <c r="R23" s="294"/>
      <c r="S23" s="267">
        <v>6176</v>
      </c>
      <c r="T23" s="267"/>
      <c r="U23" s="294">
        <f>S23-Q23</f>
        <v>-2433.08</v>
      </c>
      <c r="V23" s="294">
        <f>U23-'4.1'!U23:U25</f>
        <v>100.25000000000701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50" ht="18" customHeight="1">
      <c r="A24" s="288"/>
      <c r="B24" s="292"/>
      <c r="C24" s="294">
        <f>'4.1'!Q24</f>
        <v>0</v>
      </c>
      <c r="D24" s="294"/>
      <c r="E24" s="267"/>
      <c r="F24" s="267"/>
      <c r="G24" s="46" t="s">
        <v>137</v>
      </c>
      <c r="H24" s="76">
        <f>'4.1'!K24</f>
        <v>138942.21</v>
      </c>
      <c r="I24" s="76"/>
      <c r="J24" s="49"/>
      <c r="K24" s="49">
        <v>140321.70000000001</v>
      </c>
      <c r="L24" s="178"/>
      <c r="M24" s="294">
        <f t="shared" si="5"/>
        <v>1379.49000000002</v>
      </c>
      <c r="N24" s="294"/>
      <c r="O24" s="294"/>
      <c r="P24" s="294"/>
      <c r="Q24" s="294"/>
      <c r="R24" s="294"/>
      <c r="S24" s="267"/>
      <c r="T24" s="267"/>
      <c r="U24" s="294"/>
      <c r="V24" s="294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46">
        <f>'4.1'!AQ24</f>
        <v>0</v>
      </c>
      <c r="AN24" s="28"/>
      <c r="AO24" s="173"/>
      <c r="AP24" s="173"/>
      <c r="AQ24" s="28">
        <f>AM24+AN24+AO24-AP24</f>
        <v>0</v>
      </c>
      <c r="AR24" s="173"/>
      <c r="AS24" s="205">
        <f t="shared" si="6"/>
        <v>0</v>
      </c>
    </row>
    <row r="25" spans="1:50" ht="18" customHeight="1">
      <c r="A25" s="289"/>
      <c r="B25" s="293"/>
      <c r="C25" s="294">
        <f>'4.1'!Q25</f>
        <v>0</v>
      </c>
      <c r="D25" s="294"/>
      <c r="E25" s="267"/>
      <c r="F25" s="267"/>
      <c r="G25" s="46" t="s">
        <v>166</v>
      </c>
      <c r="H25" s="76">
        <f>'4.1'!K25</f>
        <v>112080.3</v>
      </c>
      <c r="I25" s="76"/>
      <c r="J25" s="49"/>
      <c r="K25" s="49">
        <v>112965.01</v>
      </c>
      <c r="L25" s="178"/>
      <c r="M25" s="294">
        <f t="shared" si="5"/>
        <v>884.70999999999196</v>
      </c>
      <c r="N25" s="294"/>
      <c r="O25" s="294"/>
      <c r="P25" s="294"/>
      <c r="Q25" s="294"/>
      <c r="R25" s="294"/>
      <c r="S25" s="267"/>
      <c r="T25" s="267"/>
      <c r="U25" s="294"/>
      <c r="V25" s="294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50" ht="18" customHeight="1">
      <c r="A26" s="59" t="s">
        <v>139</v>
      </c>
      <c r="B26" s="60" t="s">
        <v>174</v>
      </c>
      <c r="C26" s="294">
        <f>'4.1'!Q26</f>
        <v>9146.7800000000007</v>
      </c>
      <c r="D26" s="294"/>
      <c r="E26" s="278"/>
      <c r="F26" s="279"/>
      <c r="G26" s="28" t="s">
        <v>175</v>
      </c>
      <c r="H26" s="76">
        <f>'4.1'!K26</f>
        <v>12057.74</v>
      </c>
      <c r="I26" s="76"/>
      <c r="J26" s="49"/>
      <c r="K26" s="49">
        <v>12565.61</v>
      </c>
      <c r="L26" s="178"/>
      <c r="M26" s="294">
        <f t="shared" si="5"/>
        <v>507.87000000000103</v>
      </c>
      <c r="N26" s="294"/>
      <c r="O26" s="294">
        <f>M26</f>
        <v>507.87000000000103</v>
      </c>
      <c r="P26" s="294"/>
      <c r="Q26" s="294">
        <f>C26+E26-O26</f>
        <v>8638.91</v>
      </c>
      <c r="R26" s="294"/>
      <c r="S26" s="267">
        <v>11352</v>
      </c>
      <c r="T26" s="267"/>
      <c r="U26" s="28">
        <f>S26-Q26</f>
        <v>2713.09</v>
      </c>
      <c r="V26" s="28">
        <f>U26-'4.1'!U26</f>
        <v>-25.9299999999985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396"/>
      <c r="AM26" s="215">
        <f>'4.1'!AQ26</f>
        <v>0</v>
      </c>
      <c r="AN26" s="110"/>
      <c r="AO26" s="206"/>
      <c r="AP26" s="206"/>
      <c r="AQ26" s="193">
        <f>AM26+AN26+AO26-AP26</f>
        <v>0</v>
      </c>
      <c r="AR26" s="242"/>
      <c r="AS26" s="232">
        <f>ROUND(AR26-AQ26,2)</f>
        <v>0</v>
      </c>
      <c r="AT26" s="243"/>
      <c r="AU26" s="243"/>
      <c r="AV26" s="243"/>
      <c r="AW26" s="243"/>
      <c r="AX26" s="243"/>
    </row>
    <row r="27" spans="1:50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50">
      <c r="K28" s="27" t="s">
        <v>176</v>
      </c>
      <c r="L28" s="27" t="s">
        <v>176</v>
      </c>
      <c r="M28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C17:D18"/>
    <mergeCell ref="E17:F18"/>
    <mergeCell ref="Q17:R18"/>
    <mergeCell ref="S17:T18"/>
    <mergeCell ref="A15:AL16"/>
    <mergeCell ref="V10:W13"/>
    <mergeCell ref="E10:F14"/>
    <mergeCell ref="X17:AL18"/>
    <mergeCell ref="X19:AL22"/>
    <mergeCell ref="A12:B14"/>
    <mergeCell ref="AB10:AF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105" priority="1" operator="notEqual">
      <formula>0</formula>
    </cfRule>
  </conditionalFormatting>
  <conditionalFormatting sqref="W14">
    <cfRule type="cellIs" dxfId="104" priority="2" operator="notEqual">
      <formula>0</formula>
    </cfRule>
  </conditionalFormatting>
  <conditionalFormatting sqref="AS14 AS16 AS18 AS20 AS22 AS24 AS26 AS12 K11 AS6 AS8 AS10 AA13">
    <cfRule type="cellIs" dxfId="103" priority="3" operator="notEqual">
      <formula>0</formula>
    </cfRule>
  </conditionalFormatting>
  <dataValidations count="1">
    <dataValidation type="custom" allowBlank="1" showInputMessage="1" showErrorMessage="1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9"/>
  <sheetViews>
    <sheetView topLeftCell="E1"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'4.2'!AO1:AS2+1</f>
        <v>45750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85742.52</v>
      </c>
      <c r="D6" s="158">
        <v>6749.16</v>
      </c>
      <c r="E6" s="34">
        <f>'4.2'!K6</f>
        <v>2766.57</v>
      </c>
      <c r="F6" s="159">
        <v>33056.379999999997</v>
      </c>
      <c r="G6" s="303">
        <v>147.93</v>
      </c>
      <c r="H6" s="306">
        <f>H12+I12+J12</f>
        <v>16.48</v>
      </c>
      <c r="I6" s="303">
        <v>59023.91</v>
      </c>
      <c r="J6" s="306">
        <f>H11+I11+J11</f>
        <v>6572.89</v>
      </c>
      <c r="K6" s="158">
        <v>2287.2399999999998</v>
      </c>
      <c r="L6" s="312"/>
      <c r="M6" s="164">
        <v>2649.35</v>
      </c>
      <c r="N6" s="306">
        <f>M9-R6</f>
        <v>2745.06</v>
      </c>
      <c r="O6" s="313">
        <f>P11+P12+P13</f>
        <v>0</v>
      </c>
      <c r="P6" s="315"/>
      <c r="Q6" s="316"/>
      <c r="R6" s="306">
        <f>R11+S11+T11+U11</f>
        <v>770.29</v>
      </c>
      <c r="S6" s="306">
        <f>R12+S12+T12+U12</f>
        <v>1832.09</v>
      </c>
      <c r="T6" s="306">
        <f>R13+S13+T13+U13</f>
        <v>5.54</v>
      </c>
      <c r="U6" s="320"/>
      <c r="V6" s="312"/>
      <c r="W6" s="77"/>
      <c r="X6" s="179">
        <v>24718.84</v>
      </c>
      <c r="Y6" s="303"/>
      <c r="Z6" s="327"/>
      <c r="AA6" s="189"/>
      <c r="AB6" s="331"/>
      <c r="AC6" s="190"/>
      <c r="AD6" s="303"/>
      <c r="AE6" s="303"/>
      <c r="AF6" s="334"/>
      <c r="AG6" s="113">
        <f>'4.2'!AK6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1255806.1000000001</v>
      </c>
      <c r="AN6" s="119">
        <f>AN8+AN10</f>
        <v>84329.22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1340135.32</v>
      </c>
      <c r="AR6" s="138">
        <f>AR8+AR10</f>
        <v>1340135.32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30013</v>
      </c>
      <c r="D7" s="160"/>
      <c r="E7" s="34">
        <f>'4.2'!K7</f>
        <v>2797</v>
      </c>
      <c r="F7" s="161">
        <v>29413</v>
      </c>
      <c r="G7" s="304"/>
      <c r="H7" s="307"/>
      <c r="I7" s="304"/>
      <c r="J7" s="307"/>
      <c r="K7" s="168"/>
      <c r="L7" s="312"/>
      <c r="M7" s="169">
        <v>600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30013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281.5</v>
      </c>
      <c r="D8" s="162"/>
      <c r="E8" s="34">
        <f>'4.2'!K8</f>
        <v>0</v>
      </c>
      <c r="F8" s="163">
        <v>15.5</v>
      </c>
      <c r="G8" s="305"/>
      <c r="H8" s="308"/>
      <c r="I8" s="305"/>
      <c r="J8" s="308"/>
      <c r="K8" s="162"/>
      <c r="L8" s="312"/>
      <c r="M8" s="170">
        <v>266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'4.2'!AQ8</f>
        <v>317999.09000000003</v>
      </c>
      <c r="AN8" s="122">
        <f>I6+AJ6+AL9+P11+AJ12+AJ9+AD9</f>
        <v>75924.240000000005</v>
      </c>
      <c r="AO8" s="202"/>
      <c r="AP8" s="202"/>
      <c r="AQ8" s="151">
        <f>AM8+AN8+AO8-AP8</f>
        <v>393923.33</v>
      </c>
      <c r="AR8" s="203">
        <v>393923.33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116037.02</v>
      </c>
      <c r="D9" s="44">
        <f t="shared" ref="D9:F9" si="1">D6+D7+D8</f>
        <v>6749.16</v>
      </c>
      <c r="E9" s="45">
        <f>'4.2'!K9</f>
        <v>5563.5700000000497</v>
      </c>
      <c r="F9" s="32">
        <f t="shared" si="1"/>
        <v>62484.88</v>
      </c>
      <c r="G9" s="32">
        <f>G6</f>
        <v>147.93</v>
      </c>
      <c r="H9" s="32">
        <f>H6</f>
        <v>16.48</v>
      </c>
      <c r="I9" s="32">
        <f>I6</f>
        <v>59023.91</v>
      </c>
      <c r="J9" s="32">
        <f>J6</f>
        <v>6572.89</v>
      </c>
      <c r="K9" s="65">
        <f>E9+F9-G9-H9-I9-J9</f>
        <v>2287.2400000000498</v>
      </c>
      <c r="L9" s="66">
        <f>'4.2'!P9</f>
        <v>40449.630000000099</v>
      </c>
      <c r="M9" s="32">
        <f>M6+M7+M8</f>
        <v>3515.35</v>
      </c>
      <c r="N9" s="32">
        <f>N6</f>
        <v>2745.06</v>
      </c>
      <c r="O9" s="32">
        <f>O6</f>
        <v>0</v>
      </c>
      <c r="P9" s="65">
        <f>L9+N9-O9+L11-L13</f>
        <v>42920.690000000097</v>
      </c>
      <c r="Q9" s="34">
        <f>'4.2'!U9</f>
        <v>1103.3399999999999</v>
      </c>
      <c r="R9" s="32">
        <f>R6</f>
        <v>770.29</v>
      </c>
      <c r="S9" s="32">
        <f>S6</f>
        <v>1832.09</v>
      </c>
      <c r="T9" s="32">
        <f>T6</f>
        <v>5.54</v>
      </c>
      <c r="U9" s="65">
        <f>Q9+R9-S9-T9</f>
        <v>36</v>
      </c>
      <c r="V9" s="66">
        <f>'4.2'!Z9</f>
        <v>719327.06</v>
      </c>
      <c r="W9" s="32">
        <f>W7</f>
        <v>30013</v>
      </c>
      <c r="X9" s="32">
        <f>X6+X8</f>
        <v>24718.84</v>
      </c>
      <c r="Y9" s="32">
        <f>Y6</f>
        <v>0</v>
      </c>
      <c r="Z9" s="102">
        <f>V9+W9-X9-Y9-AA9</f>
        <v>724621.22</v>
      </c>
      <c r="AA9" s="103">
        <f>AA6+AA8</f>
        <v>0</v>
      </c>
      <c r="AB9" s="104">
        <f>'4.2'!AF9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'4.2'!AK9</f>
        <v>0</v>
      </c>
      <c r="AH9" s="199">
        <v>488</v>
      </c>
      <c r="AI9" s="199">
        <v>30.75</v>
      </c>
      <c r="AJ9" s="199">
        <v>457.25</v>
      </c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937807.01</v>
      </c>
      <c r="AN10" s="130">
        <f t="shared" si="2"/>
        <v>8404.98</v>
      </c>
      <c r="AO10" s="43">
        <f t="shared" si="2"/>
        <v>0</v>
      </c>
      <c r="AP10" s="43">
        <f t="shared" si="2"/>
        <v>0</v>
      </c>
      <c r="AQ10" s="53">
        <f t="shared" si="2"/>
        <v>946211.99</v>
      </c>
      <c r="AR10" s="154">
        <f t="shared" si="2"/>
        <v>946211.99</v>
      </c>
      <c r="AS10" s="155">
        <f>ROUND(AR10-AQ10,2)</f>
        <v>0</v>
      </c>
    </row>
    <row r="11" spans="1:45" ht="18" customHeight="1">
      <c r="A11" s="266">
        <v>85722.5</v>
      </c>
      <c r="B11" s="266"/>
      <c r="C11" s="165"/>
      <c r="D11" s="297"/>
      <c r="E11" s="264"/>
      <c r="F11" s="358"/>
      <c r="G11" s="49" t="s">
        <v>76</v>
      </c>
      <c r="H11" s="166">
        <v>6572.89</v>
      </c>
      <c r="I11" s="172"/>
      <c r="J11" s="173"/>
      <c r="K11" s="72">
        <f>ROUND(K6+K7+K8-K9,2)</f>
        <v>0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>
        <v>770.29</v>
      </c>
      <c r="T11" s="183"/>
      <c r="U11" s="184"/>
      <c r="V11" s="350"/>
      <c r="W11" s="351"/>
      <c r="X11" s="294"/>
      <c r="Y11" s="294"/>
      <c r="Z11" s="330"/>
      <c r="AA11" s="175">
        <v>724621.22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>
        <v>16.48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1832.09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'4.2'!AK12</f>
        <v>1392.2</v>
      </c>
      <c r="AH12" s="194">
        <v>18080.79</v>
      </c>
      <c r="AI12" s="132">
        <f>AG12+AH12-AJ12-AK12</f>
        <v>3029.91</v>
      </c>
      <c r="AJ12" s="194">
        <v>16443.080000000002</v>
      </c>
      <c r="AK12" s="207">
        <v>0</v>
      </c>
      <c r="AL12" s="340"/>
      <c r="AM12" s="134">
        <f>'4.2'!AQ12</f>
        <v>846995.6</v>
      </c>
      <c r="AN12" s="38">
        <f>H11+P12+R12</f>
        <v>6572.89</v>
      </c>
      <c r="AO12" s="166"/>
      <c r="AP12" s="166"/>
      <c r="AQ12" s="32">
        <f>AM12+AN12+AO12-AP12</f>
        <v>853568.49</v>
      </c>
      <c r="AR12" s="166">
        <v>853568.49</v>
      </c>
      <c r="AS12" s="155">
        <f>ROUND(AR12-AQ12,2)</f>
        <v>0</v>
      </c>
    </row>
    <row r="13" spans="1:45" ht="27" customHeight="1">
      <c r="A13" s="361"/>
      <c r="B13" s="361"/>
      <c r="C13" s="53">
        <f>ROUND(C6-A11,2)</f>
        <v>20.02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274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5.54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182</v>
      </c>
      <c r="M14" s="269"/>
      <c r="N14" s="269"/>
      <c r="O14" s="269"/>
      <c r="P14" s="269"/>
      <c r="Q14" s="91" t="s">
        <v>103</v>
      </c>
      <c r="R14" s="185"/>
      <c r="S14" s="186">
        <v>36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488</v>
      </c>
      <c r="AK14" s="138">
        <f>IF(AJ14-AH9&gt;0,AJ14-AH9,IF(AJ14-AH9&lt;=0,0))</f>
        <v>0</v>
      </c>
      <c r="AL14" s="139">
        <f>IF(AH9-AJ14&gt;0,AH9-AJ14,IF(AJ14-AH9&lt;=0,0))</f>
        <v>0</v>
      </c>
      <c r="AM14" s="66">
        <f>'4.2'!AQ14</f>
        <v>90811.41</v>
      </c>
      <c r="AN14" s="38">
        <f>I11+P13+S12</f>
        <v>1832.09</v>
      </c>
      <c r="AO14" s="181"/>
      <c r="AP14" s="181"/>
      <c r="AQ14" s="32">
        <f>AM14+AN14+AO14-AP14</f>
        <v>92643.5</v>
      </c>
      <c r="AR14" s="181">
        <v>92643.5</v>
      </c>
      <c r="AS14" s="155">
        <f>ROUND(AR14-AQ14,2)</f>
        <v>0</v>
      </c>
    </row>
    <row r="15" spans="1:45" ht="18" customHeight="1">
      <c r="A15" s="371" t="s">
        <v>183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'4.2'!Q19</f>
        <v>19836.8</v>
      </c>
      <c r="D19" s="277"/>
      <c r="E19" s="267"/>
      <c r="F19" s="267"/>
      <c r="G19" s="46" t="s">
        <v>139</v>
      </c>
      <c r="H19" s="58">
        <f>'4.2'!K19</f>
        <v>150530.97</v>
      </c>
      <c r="I19" s="76"/>
      <c r="J19" s="49"/>
      <c r="K19" s="49">
        <v>152407.73000000001</v>
      </c>
      <c r="L19" s="178"/>
      <c r="M19" s="277">
        <f>IF(I19=J19=0,K19-H19-L19,IF(I19&gt;J19&gt;0,I19-H19+K19-J19-L19))</f>
        <v>1876.76000000001</v>
      </c>
      <c r="N19" s="277"/>
      <c r="O19" s="362">
        <f>M19+M20+M21+M22</f>
        <v>8256.3600000000406</v>
      </c>
      <c r="P19" s="363"/>
      <c r="Q19" s="362">
        <f>C19+E19-O19</f>
        <v>11580.44</v>
      </c>
      <c r="R19" s="363"/>
      <c r="S19" s="366">
        <v>7382</v>
      </c>
      <c r="T19" s="357"/>
      <c r="U19" s="323">
        <f>S19-Q19</f>
        <v>-4198.4399999999596</v>
      </c>
      <c r="V19" s="323">
        <f>U19-'4.2'!U19:U22</f>
        <v>-3265.6399999999799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'4.2'!Q20</f>
        <v>0</v>
      </c>
      <c r="D20" s="277"/>
      <c r="E20" s="267"/>
      <c r="F20" s="267"/>
      <c r="G20" s="46" t="s">
        <v>147</v>
      </c>
      <c r="H20" s="58">
        <f>'4.2'!K20</f>
        <v>226742.36</v>
      </c>
      <c r="I20" s="76"/>
      <c r="J20" s="49"/>
      <c r="K20" s="49">
        <v>229368.26</v>
      </c>
      <c r="L20" s="178"/>
      <c r="M20" s="277">
        <f t="shared" ref="M20:M26" si="3">IF(I20=J20=0,K20-H20-L20,IF(I20&gt;J20&gt;0,I20-H20+K20-J20-L20))</f>
        <v>2625.9000000000201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'4.2'!Q21</f>
        <v>0</v>
      </c>
      <c r="D21" s="277"/>
      <c r="E21" s="267"/>
      <c r="F21" s="267"/>
      <c r="G21" s="46" t="s">
        <v>148</v>
      </c>
      <c r="H21" s="58">
        <f>'4.2'!K21</f>
        <v>141826.48000000001</v>
      </c>
      <c r="I21" s="76"/>
      <c r="J21" s="49"/>
      <c r="K21" s="49">
        <v>143912.70000000001</v>
      </c>
      <c r="L21" s="178"/>
      <c r="M21" s="277">
        <f t="shared" si="3"/>
        <v>2086.2199999999998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'4.2'!Q22</f>
        <v>0</v>
      </c>
      <c r="D22" s="277"/>
      <c r="E22" s="267"/>
      <c r="F22" s="267"/>
      <c r="G22" s="46" t="s">
        <v>156</v>
      </c>
      <c r="H22" s="58">
        <f>'4.2'!K22</f>
        <v>172971.06</v>
      </c>
      <c r="I22" s="76"/>
      <c r="J22" s="49"/>
      <c r="K22" s="49">
        <v>174638.54</v>
      </c>
      <c r="L22" s="178"/>
      <c r="M22" s="277">
        <f t="shared" si="3"/>
        <v>1667.48000000001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'4.2'!Q23</f>
        <v>8609.08</v>
      </c>
      <c r="D23" s="277"/>
      <c r="E23" s="267"/>
      <c r="F23" s="267"/>
      <c r="G23" s="46" t="s">
        <v>157</v>
      </c>
      <c r="H23" s="58">
        <f>'4.2'!K23</f>
        <v>60663.34</v>
      </c>
      <c r="I23" s="76"/>
      <c r="J23" s="49"/>
      <c r="K23" s="49">
        <v>61013.86</v>
      </c>
      <c r="L23" s="178"/>
      <c r="M23" s="277">
        <f t="shared" si="3"/>
        <v>350.52000000000402</v>
      </c>
      <c r="N23" s="277"/>
      <c r="O23" s="277">
        <f>M23+M24+M25</f>
        <v>2721.3500000000099</v>
      </c>
      <c r="P23" s="277"/>
      <c r="Q23" s="277">
        <f>C23+E23-O23</f>
        <v>5887.7299999999896</v>
      </c>
      <c r="R23" s="277"/>
      <c r="S23" s="267">
        <v>7105.2</v>
      </c>
      <c r="T23" s="267"/>
      <c r="U23" s="277">
        <f>S23-Q23</f>
        <v>1217.47000000001</v>
      </c>
      <c r="V23" s="277">
        <f>U23-'4.2'!U23:U25</f>
        <v>3650.5500000000102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'4.2'!Q24</f>
        <v>0</v>
      </c>
      <c r="D24" s="277"/>
      <c r="E24" s="267"/>
      <c r="F24" s="267"/>
      <c r="G24" s="46" t="s">
        <v>137</v>
      </c>
      <c r="H24" s="58">
        <f>'4.2'!K24</f>
        <v>140321.70000000001</v>
      </c>
      <c r="I24" s="76"/>
      <c r="J24" s="49"/>
      <c r="K24" s="49">
        <v>141727.82</v>
      </c>
      <c r="L24" s="178"/>
      <c r="M24" s="277">
        <f t="shared" si="3"/>
        <v>1406.12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'4.2'!Q25</f>
        <v>0</v>
      </c>
      <c r="D25" s="277"/>
      <c r="E25" s="267"/>
      <c r="F25" s="267"/>
      <c r="G25" s="46" t="s">
        <v>166</v>
      </c>
      <c r="H25" s="58">
        <f>'4.2'!K25</f>
        <v>112965.01</v>
      </c>
      <c r="I25" s="76"/>
      <c r="J25" s="49"/>
      <c r="K25" s="49">
        <v>113929.72</v>
      </c>
      <c r="L25" s="178"/>
      <c r="M25" s="277">
        <f t="shared" si="3"/>
        <v>964.71000000000595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'4.2'!Q26</f>
        <v>8638.91</v>
      </c>
      <c r="D26" s="277"/>
      <c r="E26" s="278"/>
      <c r="F26" s="279"/>
      <c r="G26" s="28" t="s">
        <v>175</v>
      </c>
      <c r="H26" s="58">
        <f>'4.2'!K26</f>
        <v>12565.61</v>
      </c>
      <c r="I26" s="76"/>
      <c r="J26" s="49"/>
      <c r="K26" s="49">
        <v>13294.28</v>
      </c>
      <c r="L26" s="178"/>
      <c r="M26" s="277">
        <f t="shared" si="3"/>
        <v>728.67</v>
      </c>
      <c r="N26" s="277"/>
      <c r="O26" s="277">
        <f>M26</f>
        <v>728.67</v>
      </c>
      <c r="P26" s="277"/>
      <c r="Q26" s="277">
        <f>C26+E26-O26</f>
        <v>7910.24</v>
      </c>
      <c r="R26" s="277"/>
      <c r="S26" s="267">
        <v>11019.4</v>
      </c>
      <c r="T26" s="267"/>
      <c r="U26" s="53">
        <f>S26-Q26</f>
        <v>3109.16</v>
      </c>
      <c r="V26" s="53">
        <f>U26-'4.2'!U26</f>
        <v>396.07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9" spans="1:45">
      <c r="M29" s="27" t="s">
        <v>176</v>
      </c>
      <c r="N29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102" priority="1" operator="notEqual">
      <formula>0</formula>
    </cfRule>
  </conditionalFormatting>
  <conditionalFormatting sqref="W14">
    <cfRule type="cellIs" dxfId="101" priority="3" operator="notEqual">
      <formula>0</formula>
    </cfRule>
  </conditionalFormatting>
  <conditionalFormatting sqref="Y35">
    <cfRule type="cellIs" dxfId="100" priority="2" operator="notEqual">
      <formula>0</formula>
    </cfRule>
  </conditionalFormatting>
  <conditionalFormatting sqref="AS14 AS16 AS18 AS20 AS22 AS24 AS26 AS12 K11 AS6 AS8 AS10 AA13">
    <cfRule type="cellIs" dxfId="99" priority="4" operator="notEqual">
      <formula>0</formula>
    </cfRule>
  </conditionalFormatting>
  <dataValidations count="1">
    <dataValidation type="custom" allowBlank="1" showInputMessage="1" showErrorMessage="1" errorTitle="禁止修改" error="已经填写完毕的表格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9"/>
  <sheetViews>
    <sheetView topLeftCell="P1" workbookViewId="0">
      <selection activeCell="X19" sqref="X19:AL25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'4.3'!AO1:AS2+1</f>
        <v>45751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85018.63</v>
      </c>
      <c r="D6" s="158">
        <v>6548.65</v>
      </c>
      <c r="E6" s="34">
        <f>'4.3'!K6</f>
        <v>2287.2399999999998</v>
      </c>
      <c r="F6" s="159">
        <v>34721.589999999997</v>
      </c>
      <c r="G6" s="303">
        <v>110.99</v>
      </c>
      <c r="H6" s="306">
        <f>H12+I12+J12</f>
        <v>12.54</v>
      </c>
      <c r="I6" s="303">
        <v>44232.44</v>
      </c>
      <c r="J6" s="306">
        <f>H11+I11+J11</f>
        <v>5006.3999999999996</v>
      </c>
      <c r="K6" s="158">
        <v>2213.46</v>
      </c>
      <c r="L6" s="312"/>
      <c r="M6" s="164">
        <v>3853.16</v>
      </c>
      <c r="N6" s="306">
        <f>M9-R6</f>
        <v>3323.76</v>
      </c>
      <c r="O6" s="313">
        <f>P11+P12+P13</f>
        <v>0</v>
      </c>
      <c r="P6" s="315"/>
      <c r="Q6" s="316"/>
      <c r="R6" s="306">
        <f>R11+S11+T11+U11</f>
        <v>891.4</v>
      </c>
      <c r="S6" s="306">
        <f>R12+S12+T12+U12</f>
        <v>699.29</v>
      </c>
      <c r="T6" s="306">
        <f>R13+S13+T13+U13</f>
        <v>2.11</v>
      </c>
      <c r="U6" s="320"/>
      <c r="V6" s="312"/>
      <c r="W6" s="77"/>
      <c r="X6" s="179">
        <v>19794.05</v>
      </c>
      <c r="Y6" s="303"/>
      <c r="Z6" s="327"/>
      <c r="AA6" s="189"/>
      <c r="AB6" s="331"/>
      <c r="AC6" s="190"/>
      <c r="AD6" s="303"/>
      <c r="AE6" s="303"/>
      <c r="AF6" s="334"/>
      <c r="AG6" s="113">
        <f>'4.3'!AK6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1340135.32</v>
      </c>
      <c r="AN6" s="119">
        <f>AN8+AN10</f>
        <v>66537.86</v>
      </c>
      <c r="AO6" s="119">
        <f t="shared" ref="AO6:AP6" si="0">AO8+AO10</f>
        <v>0</v>
      </c>
      <c r="AP6" s="119">
        <f t="shared" si="0"/>
        <v>215015</v>
      </c>
      <c r="AQ6" s="147">
        <f>AM6+AN6+AO6-AP6</f>
        <v>1191658.18</v>
      </c>
      <c r="AR6" s="138">
        <f>AR8+AR10</f>
        <v>1191658.18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14750</v>
      </c>
      <c r="D7" s="160"/>
      <c r="E7" s="34">
        <f>'4.3'!K7</f>
        <v>0</v>
      </c>
      <c r="F7" s="161">
        <v>14650</v>
      </c>
      <c r="G7" s="304"/>
      <c r="H7" s="307"/>
      <c r="I7" s="304"/>
      <c r="J7" s="307"/>
      <c r="K7" s="168">
        <v>112</v>
      </c>
      <c r="L7" s="312"/>
      <c r="M7" s="169">
        <v>100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14750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291</v>
      </c>
      <c r="D8" s="162"/>
      <c r="E8" s="34">
        <f>'4.3'!K8</f>
        <v>0</v>
      </c>
      <c r="F8" s="163">
        <v>29</v>
      </c>
      <c r="G8" s="305"/>
      <c r="H8" s="308"/>
      <c r="I8" s="305"/>
      <c r="J8" s="308"/>
      <c r="K8" s="162"/>
      <c r="L8" s="312"/>
      <c r="M8" s="170">
        <v>262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'4.3'!AQ8</f>
        <v>393923.33</v>
      </c>
      <c r="AN8" s="122">
        <f>I6+AJ6+AL9+P11+AJ12+AJ9+AD9</f>
        <v>60832.17</v>
      </c>
      <c r="AO8" s="202"/>
      <c r="AP8" s="202">
        <v>215015</v>
      </c>
      <c r="AQ8" s="151">
        <f>AM8+AN8+AO8-AP8</f>
        <v>239740.5</v>
      </c>
      <c r="AR8" s="203">
        <v>239740.5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100059.63</v>
      </c>
      <c r="D9" s="44">
        <f t="shared" ref="D9:F9" si="1">D6+D7+D8</f>
        <v>6548.65</v>
      </c>
      <c r="E9" s="45">
        <f>'4.3'!K9</f>
        <v>2287.2400000000498</v>
      </c>
      <c r="F9" s="32">
        <f t="shared" si="1"/>
        <v>49400.59</v>
      </c>
      <c r="G9" s="32">
        <f>G6</f>
        <v>110.99</v>
      </c>
      <c r="H9" s="32">
        <f>H6</f>
        <v>12.54</v>
      </c>
      <c r="I9" s="32">
        <f>I6</f>
        <v>44232.44</v>
      </c>
      <c r="J9" s="32">
        <f>J6</f>
        <v>5006.3999999999996</v>
      </c>
      <c r="K9" s="65">
        <f>E9+F9-G9-H9-I9-J9</f>
        <v>2325.4600000000401</v>
      </c>
      <c r="L9" s="66">
        <f>'4.3'!P9</f>
        <v>42920.690000000097</v>
      </c>
      <c r="M9" s="32">
        <f>M6+M7+M8</f>
        <v>4215.16</v>
      </c>
      <c r="N9" s="32">
        <f>N6</f>
        <v>3323.76</v>
      </c>
      <c r="O9" s="32">
        <f>O6</f>
        <v>0</v>
      </c>
      <c r="P9" s="65">
        <f>L9+N9-O9+L11-L13</f>
        <v>38334.370000000097</v>
      </c>
      <c r="Q9" s="34">
        <f>'4.3'!U9</f>
        <v>36</v>
      </c>
      <c r="R9" s="32">
        <f>R6</f>
        <v>891.4</v>
      </c>
      <c r="S9" s="32">
        <f>S6</f>
        <v>699.29</v>
      </c>
      <c r="T9" s="32">
        <f>T6</f>
        <v>2.11</v>
      </c>
      <c r="U9" s="65">
        <f>Q9+R9-S9-T9</f>
        <v>226</v>
      </c>
      <c r="V9" s="66">
        <f>'4.3'!Z9</f>
        <v>724621.22</v>
      </c>
      <c r="W9" s="32">
        <f>W7</f>
        <v>14750</v>
      </c>
      <c r="X9" s="32">
        <f>X6+X8</f>
        <v>19794.05</v>
      </c>
      <c r="Y9" s="32">
        <f>Y6</f>
        <v>0</v>
      </c>
      <c r="Z9" s="102">
        <f>V9+W9-X9-Y9-AA9</f>
        <v>719577.17</v>
      </c>
      <c r="AA9" s="103">
        <f>AA6+AA8</f>
        <v>0</v>
      </c>
      <c r="AB9" s="104">
        <f>'4.3'!AF9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'4.3'!AK9</f>
        <v>0</v>
      </c>
      <c r="AH9" s="199">
        <v>2097.6</v>
      </c>
      <c r="AI9" s="199">
        <v>143.82</v>
      </c>
      <c r="AJ9" s="199">
        <v>2138.87</v>
      </c>
      <c r="AK9" s="125">
        <f>AG9+AH9-AI9-AJ9+AK14-AL14</f>
        <v>2.2737367544323201E-13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946211.99</v>
      </c>
      <c r="AN10" s="130">
        <f t="shared" si="2"/>
        <v>5705.69</v>
      </c>
      <c r="AO10" s="43">
        <f t="shared" si="2"/>
        <v>0</v>
      </c>
      <c r="AP10" s="43">
        <f t="shared" si="2"/>
        <v>0</v>
      </c>
      <c r="AQ10" s="53">
        <f t="shared" si="2"/>
        <v>951917.68</v>
      </c>
      <c r="AR10" s="154">
        <f t="shared" si="2"/>
        <v>951917.68</v>
      </c>
      <c r="AS10" s="155">
        <f>ROUND(AR10-AQ10,2)</f>
        <v>0</v>
      </c>
    </row>
    <row r="11" spans="1:45" ht="18" customHeight="1">
      <c r="A11" s="266">
        <v>85018.64</v>
      </c>
      <c r="B11" s="266"/>
      <c r="C11" s="165"/>
      <c r="D11" s="297"/>
      <c r="E11" s="264"/>
      <c r="F11" s="358"/>
      <c r="G11" s="49" t="s">
        <v>76</v>
      </c>
      <c r="H11" s="166">
        <v>5006.3999999999996</v>
      </c>
      <c r="I11" s="172"/>
      <c r="J11" s="173"/>
      <c r="K11" s="72">
        <f>ROUND(K6+K7+K8-K9,2)</f>
        <v>0</v>
      </c>
      <c r="L11" s="164">
        <v>0</v>
      </c>
      <c r="M11" s="267"/>
      <c r="N11" s="267"/>
      <c r="O11" s="49" t="s">
        <v>37</v>
      </c>
      <c r="P11" s="175"/>
      <c r="Q11" s="85" t="s">
        <v>77</v>
      </c>
      <c r="R11" s="181"/>
      <c r="S11" s="182">
        <v>891.4</v>
      </c>
      <c r="T11" s="183"/>
      <c r="U11" s="184"/>
      <c r="V11" s="350"/>
      <c r="W11" s="351"/>
      <c r="X11" s="294"/>
      <c r="Y11" s="294"/>
      <c r="Z11" s="330"/>
      <c r="AA11" s="175">
        <v>719577.17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>
        <v>12.54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699.29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'4.3'!AK12</f>
        <v>0</v>
      </c>
      <c r="AH12" s="194">
        <v>18003.580000000002</v>
      </c>
      <c r="AI12" s="132">
        <f>AG12+AH12-AJ12-AK12</f>
        <v>2862.52</v>
      </c>
      <c r="AJ12" s="194">
        <v>14460.86</v>
      </c>
      <c r="AK12" s="207">
        <v>680.2</v>
      </c>
      <c r="AL12" s="340"/>
      <c r="AM12" s="134">
        <f>'4.3'!AQ12</f>
        <v>853568.49</v>
      </c>
      <c r="AN12" s="38">
        <f>H11+P12+R12</f>
        <v>5006.3999999999996</v>
      </c>
      <c r="AO12" s="166"/>
      <c r="AP12" s="166"/>
      <c r="AQ12" s="32">
        <f>AM12+AN12+AO12-AP12</f>
        <v>858574.89</v>
      </c>
      <c r="AR12" s="166">
        <v>858574.89</v>
      </c>
      <c r="AS12" s="155">
        <f>ROUND(AR12-AQ12,2)</f>
        <v>0</v>
      </c>
    </row>
    <row r="13" spans="1:45" ht="27" customHeight="1">
      <c r="A13" s="361"/>
      <c r="B13" s="361"/>
      <c r="C13" s="53">
        <f>ROUND(C6-A11,2)</f>
        <v>-0.01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7910.08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2.11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184</v>
      </c>
      <c r="M14" s="269"/>
      <c r="N14" s="269"/>
      <c r="O14" s="269"/>
      <c r="P14" s="269"/>
      <c r="Q14" s="91" t="s">
        <v>103</v>
      </c>
      <c r="R14" s="185"/>
      <c r="S14" s="186">
        <v>226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2282.69</v>
      </c>
      <c r="AK14" s="138">
        <f>IF(AJ14-AH9&gt;0,AJ14-AH9,IF(AJ14-AH9&lt;=0,0))</f>
        <v>185.09</v>
      </c>
      <c r="AL14" s="139" t="b">
        <f>IF(AH9-AJ14&gt;0,AH9-AJ14,IF(AJ14-AH9&lt;=0,0))</f>
        <v>0</v>
      </c>
      <c r="AM14" s="66">
        <f>'4.3'!AQ14</f>
        <v>92643.5</v>
      </c>
      <c r="AN14" s="38">
        <f>I11+P13+S12</f>
        <v>699.29</v>
      </c>
      <c r="AO14" s="181"/>
      <c r="AP14" s="181"/>
      <c r="AQ14" s="32">
        <f>AM14+AN14+AO14-AP14</f>
        <v>93342.79</v>
      </c>
      <c r="AR14" s="181">
        <v>93342.79</v>
      </c>
      <c r="AS14" s="155">
        <f>ROUND(AR14-AQ14,2)</f>
        <v>0</v>
      </c>
    </row>
    <row r="15" spans="1:45" ht="18" customHeight="1">
      <c r="A15" s="371" t="s">
        <v>185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'4.3'!AQ16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'4.3'!AQ18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'4.3'!Q19</f>
        <v>11580.44</v>
      </c>
      <c r="D19" s="277"/>
      <c r="E19" s="267">
        <v>0</v>
      </c>
      <c r="F19" s="267"/>
      <c r="G19" s="46" t="s">
        <v>139</v>
      </c>
      <c r="H19" s="58">
        <f>'4.3'!K19</f>
        <v>152407.73000000001</v>
      </c>
      <c r="I19" s="76"/>
      <c r="J19" s="49"/>
      <c r="K19" s="49">
        <v>154551.23000000001</v>
      </c>
      <c r="L19" s="178"/>
      <c r="M19" s="277">
        <f>IF(I19=J19=0,K19-H19-L19,IF(I19&gt;J19&gt;0,I19-H19+K19-J19-L19))</f>
        <v>2143.5</v>
      </c>
      <c r="N19" s="277"/>
      <c r="O19" s="362">
        <f>M19+M20+M21+M22</f>
        <v>8150.9899999999598</v>
      </c>
      <c r="P19" s="363"/>
      <c r="Q19" s="362">
        <f>C19+E19-O19</f>
        <v>3429.4500000000398</v>
      </c>
      <c r="R19" s="363"/>
      <c r="S19" s="366">
        <v>0</v>
      </c>
      <c r="T19" s="357"/>
      <c r="U19" s="323">
        <f>S19-Q19</f>
        <v>-3429.4500000000398</v>
      </c>
      <c r="V19" s="323">
        <f>U19-'4.3'!U19:U22</f>
        <v>768.989999999921</v>
      </c>
      <c r="W19" s="325"/>
      <c r="X19" s="409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1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'4.3'!Q20</f>
        <v>0</v>
      </c>
      <c r="D20" s="277"/>
      <c r="E20" s="267"/>
      <c r="F20" s="267"/>
      <c r="G20" s="46" t="s">
        <v>147</v>
      </c>
      <c r="H20" s="58">
        <f>'4.3'!K20</f>
        <v>229368.26</v>
      </c>
      <c r="I20" s="76"/>
      <c r="J20" s="49"/>
      <c r="K20" s="49">
        <v>231817.37</v>
      </c>
      <c r="L20" s="178"/>
      <c r="M20" s="277">
        <f t="shared" ref="M20:M26" si="3">IF(I20=J20=0,K20-H20-L20,IF(I20&gt;J20&gt;0,I20-H20+K20-J20-L20))</f>
        <v>2449.1099999999901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412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4"/>
      <c r="AM20" s="142">
        <f>'4.3'!AQ20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'4.3'!Q21</f>
        <v>0</v>
      </c>
      <c r="D21" s="277"/>
      <c r="E21" s="267"/>
      <c r="F21" s="267"/>
      <c r="G21" s="46" t="s">
        <v>148</v>
      </c>
      <c r="H21" s="58">
        <f>'4.3'!K21</f>
        <v>143912.70000000001</v>
      </c>
      <c r="I21" s="76"/>
      <c r="J21" s="49"/>
      <c r="K21" s="49">
        <v>145301.87</v>
      </c>
      <c r="L21" s="178"/>
      <c r="M21" s="277">
        <f t="shared" si="3"/>
        <v>1389.1699999999801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412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4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'4.3'!Q22</f>
        <v>0</v>
      </c>
      <c r="D22" s="277"/>
      <c r="E22" s="267"/>
      <c r="F22" s="267"/>
      <c r="G22" s="46" t="s">
        <v>156</v>
      </c>
      <c r="H22" s="58">
        <f>'4.3'!K22</f>
        <v>174638.54</v>
      </c>
      <c r="I22" s="76"/>
      <c r="J22" s="49"/>
      <c r="K22" s="49">
        <v>176807.75</v>
      </c>
      <c r="L22" s="178"/>
      <c r="M22" s="277">
        <f t="shared" si="3"/>
        <v>2169.20999999999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15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7"/>
      <c r="AM22" s="145">
        <f>'4.3'!AQ22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'4.3'!Q23</f>
        <v>5887.7299999999896</v>
      </c>
      <c r="D23" s="277"/>
      <c r="E23" s="267">
        <v>0</v>
      </c>
      <c r="F23" s="267"/>
      <c r="G23" s="46" t="s">
        <v>157</v>
      </c>
      <c r="H23" s="58">
        <f>'4.3'!K23</f>
        <v>61013.86</v>
      </c>
      <c r="I23" s="76"/>
      <c r="J23" s="49"/>
      <c r="K23" s="49">
        <v>61440.6</v>
      </c>
      <c r="L23" s="178"/>
      <c r="M23" s="277">
        <f t="shared" si="3"/>
        <v>426.73999999999802</v>
      </c>
      <c r="N23" s="277"/>
      <c r="O23" s="277">
        <f>M23+M24+M25</f>
        <v>2685.4699999999898</v>
      </c>
      <c r="P23" s="277"/>
      <c r="Q23" s="277">
        <f>C23+E23-O23</f>
        <v>3202.26</v>
      </c>
      <c r="R23" s="277"/>
      <c r="S23" s="267">
        <v>4926.3999999999996</v>
      </c>
      <c r="T23" s="267"/>
      <c r="U23" s="277">
        <f>S23-Q23</f>
        <v>1724.14</v>
      </c>
      <c r="V23" s="277">
        <f>U23-'4.3'!U23:U25</f>
        <v>506.66999999999399</v>
      </c>
      <c r="W23" s="267"/>
      <c r="X23" s="409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1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'4.3'!Q24</f>
        <v>0</v>
      </c>
      <c r="D24" s="277"/>
      <c r="E24" s="267"/>
      <c r="F24" s="267"/>
      <c r="G24" s="46" t="s">
        <v>137</v>
      </c>
      <c r="H24" s="58">
        <f>'4.3'!K24</f>
        <v>141727.82</v>
      </c>
      <c r="I24" s="76"/>
      <c r="J24" s="49"/>
      <c r="K24" s="49">
        <v>143331.41</v>
      </c>
      <c r="L24" s="178"/>
      <c r="M24" s="277">
        <f t="shared" si="3"/>
        <v>1603.59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412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4"/>
      <c r="AM24" s="145">
        <f>'4.3'!AQ24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'4.3'!Q25</f>
        <v>0</v>
      </c>
      <c r="D25" s="277"/>
      <c r="E25" s="267"/>
      <c r="F25" s="267"/>
      <c r="G25" s="46" t="s">
        <v>166</v>
      </c>
      <c r="H25" s="58">
        <f>'4.3'!K25</f>
        <v>113929.72</v>
      </c>
      <c r="I25" s="76"/>
      <c r="J25" s="49"/>
      <c r="K25" s="49">
        <v>114584.86</v>
      </c>
      <c r="L25" s="178"/>
      <c r="M25" s="277">
        <f t="shared" si="3"/>
        <v>655.13999999999896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412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4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'4.3'!Q26</f>
        <v>7910.24</v>
      </c>
      <c r="D26" s="277"/>
      <c r="E26" s="278"/>
      <c r="F26" s="279"/>
      <c r="G26" s="28" t="s">
        <v>175</v>
      </c>
      <c r="H26" s="58">
        <f>'4.3'!K26</f>
        <v>13294.28</v>
      </c>
      <c r="I26" s="76"/>
      <c r="J26" s="49"/>
      <c r="K26" s="49">
        <v>13873.94</v>
      </c>
      <c r="L26" s="178"/>
      <c r="M26" s="277">
        <f t="shared" si="3"/>
        <v>579.66</v>
      </c>
      <c r="N26" s="277"/>
      <c r="O26" s="277">
        <f>M26</f>
        <v>579.66</v>
      </c>
      <c r="P26" s="277"/>
      <c r="Q26" s="277">
        <f>C26+E26-O26</f>
        <v>7330.58</v>
      </c>
      <c r="R26" s="277"/>
      <c r="S26" s="267">
        <v>6764.3</v>
      </c>
      <c r="T26" s="267"/>
      <c r="U26" s="53">
        <f>S26-Q26</f>
        <v>-566.28</v>
      </c>
      <c r="V26" s="53">
        <f>U26-'4.3'!U26</f>
        <v>-3675.44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'4.3'!AQ26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9" spans="1:45">
      <c r="L29" s="27" t="s">
        <v>176</v>
      </c>
      <c r="M29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98" priority="1" operator="notEqual">
      <formula>0</formula>
    </cfRule>
  </conditionalFormatting>
  <conditionalFormatting sqref="W14">
    <cfRule type="cellIs" dxfId="97" priority="3" operator="notEqual">
      <formula>0</formula>
    </cfRule>
  </conditionalFormatting>
  <conditionalFormatting sqref="Y35">
    <cfRule type="cellIs" dxfId="96" priority="2" operator="notEqual">
      <formula>0</formula>
    </cfRule>
  </conditionalFormatting>
  <conditionalFormatting sqref="AS14 AS16 AS18 AS20 AS22 AS24 AS26 AS12 K11 AS6 AS8 AS10 AA13">
    <cfRule type="cellIs" dxfId="95" priority="4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8"/>
  <sheetViews>
    <sheetView topLeftCell="M1" workbookViewId="0">
      <selection activeCell="X19" sqref="X19:AL22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'4.4'!AO1:AS2+1</f>
        <v>45752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80071.22</v>
      </c>
      <c r="D6" s="158">
        <v>7168.6</v>
      </c>
      <c r="E6" s="34">
        <f>'4.4'!K6</f>
        <v>2213.46</v>
      </c>
      <c r="F6" s="159">
        <v>29233.85</v>
      </c>
      <c r="G6" s="303">
        <v>137.81</v>
      </c>
      <c r="H6" s="306">
        <f>H12+I12+J12</f>
        <v>16.64</v>
      </c>
      <c r="I6" s="303">
        <v>54930.720000000001</v>
      </c>
      <c r="J6" s="306">
        <f>H11+I11+J11</f>
        <v>6635.35</v>
      </c>
      <c r="K6" s="158">
        <v>2218.39</v>
      </c>
      <c r="L6" s="312"/>
      <c r="M6" s="164">
        <v>3317.89</v>
      </c>
      <c r="N6" s="306">
        <f>M9-R6</f>
        <v>2751.46</v>
      </c>
      <c r="O6" s="313">
        <f>P11+P12+P13</f>
        <v>0</v>
      </c>
      <c r="P6" s="315"/>
      <c r="Q6" s="316"/>
      <c r="R6" s="306">
        <f>R11+S11+T11+U11</f>
        <v>1833.93</v>
      </c>
      <c r="S6" s="306">
        <f>R12+S12+T12+U12</f>
        <v>2045.4</v>
      </c>
      <c r="T6" s="306">
        <f>R13+S13+T13+U13</f>
        <v>6.16</v>
      </c>
      <c r="U6" s="320"/>
      <c r="V6" s="312"/>
      <c r="W6" s="77"/>
      <c r="X6" s="179">
        <v>25798.99</v>
      </c>
      <c r="Y6" s="303">
        <v>88.7</v>
      </c>
      <c r="Z6" s="327"/>
      <c r="AA6" s="189"/>
      <c r="AB6" s="331"/>
      <c r="AC6" s="190"/>
      <c r="AD6" s="303"/>
      <c r="AE6" s="303"/>
      <c r="AF6" s="334"/>
      <c r="AG6" s="113">
        <f>'4.4'!AK6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1191658.18</v>
      </c>
      <c r="AN6" s="119">
        <f>AN8+AN10</f>
        <v>75677</v>
      </c>
      <c r="AO6" s="119">
        <f t="shared" ref="AO6:AP6" si="0">AO8+AO10</f>
        <v>0</v>
      </c>
      <c r="AP6" s="119">
        <f t="shared" si="0"/>
        <v>40278</v>
      </c>
      <c r="AQ6" s="147">
        <f>AM6+AN6+AO6-AP6</f>
        <v>1227057.18</v>
      </c>
      <c r="AR6" s="138">
        <f>AR8+AR10</f>
        <v>1227057.18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33413</v>
      </c>
      <c r="D7" s="160"/>
      <c r="E7" s="34">
        <f>'4.4'!K7</f>
        <v>112</v>
      </c>
      <c r="F7" s="161">
        <v>32313</v>
      </c>
      <c r="G7" s="304"/>
      <c r="H7" s="307"/>
      <c r="I7" s="304"/>
      <c r="J7" s="307"/>
      <c r="K7" s="168"/>
      <c r="L7" s="312"/>
      <c r="M7" s="169">
        <v>1100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33413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252.6</v>
      </c>
      <c r="D8" s="162"/>
      <c r="E8" s="34">
        <f>'4.4'!K8</f>
        <v>0</v>
      </c>
      <c r="F8" s="163">
        <v>85.1</v>
      </c>
      <c r="G8" s="305"/>
      <c r="H8" s="308"/>
      <c r="I8" s="305"/>
      <c r="J8" s="308"/>
      <c r="K8" s="162">
        <v>18.5</v>
      </c>
      <c r="L8" s="312"/>
      <c r="M8" s="170">
        <v>167.5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'4.4'!AQ8</f>
        <v>239740.5</v>
      </c>
      <c r="AN8" s="122">
        <f>I6+AJ6+AL9+P11+AJ12+AJ9+AD9</f>
        <v>66996.25</v>
      </c>
      <c r="AO8" s="202"/>
      <c r="AP8" s="202"/>
      <c r="AQ8" s="151">
        <f>AM8+AN8+AO8-AP8</f>
        <v>306736.75</v>
      </c>
      <c r="AR8" s="203">
        <v>306736.75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113736.82</v>
      </c>
      <c r="D9" s="44">
        <f t="shared" ref="D9:F9" si="1">D6+D7+D8</f>
        <v>7168.6</v>
      </c>
      <c r="E9" s="45">
        <f>'4.4'!K9</f>
        <v>2325.4600000000401</v>
      </c>
      <c r="F9" s="32">
        <f t="shared" si="1"/>
        <v>61631.95</v>
      </c>
      <c r="G9" s="32">
        <f>G6</f>
        <v>137.81</v>
      </c>
      <c r="H9" s="32">
        <f>H6</f>
        <v>16.64</v>
      </c>
      <c r="I9" s="32">
        <f>I6</f>
        <v>54930.720000000001</v>
      </c>
      <c r="J9" s="32">
        <f>J6</f>
        <v>6635.35</v>
      </c>
      <c r="K9" s="65">
        <f>E9+F9-G9-H9-I9-J9</f>
        <v>2236.8900000000399</v>
      </c>
      <c r="L9" s="66">
        <f>'4.4'!P9</f>
        <v>38334.370000000097</v>
      </c>
      <c r="M9" s="32">
        <f>M6+M7+M8</f>
        <v>4585.3900000000003</v>
      </c>
      <c r="N9" s="32">
        <f>N6</f>
        <v>2751.46</v>
      </c>
      <c r="O9" s="32">
        <f>O6</f>
        <v>0</v>
      </c>
      <c r="P9" s="65">
        <f>L9+N9-O9+L11-L13</f>
        <v>41804.830000000104</v>
      </c>
      <c r="Q9" s="34">
        <f>'4.4'!U9</f>
        <v>226</v>
      </c>
      <c r="R9" s="32">
        <f>R6</f>
        <v>1833.93</v>
      </c>
      <c r="S9" s="32">
        <f>S6</f>
        <v>2045.4</v>
      </c>
      <c r="T9" s="32">
        <f>T6</f>
        <v>6.16</v>
      </c>
      <c r="U9" s="65">
        <f>Q9+R9-S9-T9</f>
        <v>8.3700000000001999</v>
      </c>
      <c r="V9" s="66">
        <f>'4.4'!Z9</f>
        <v>719577.17</v>
      </c>
      <c r="W9" s="32">
        <f>W7</f>
        <v>33413</v>
      </c>
      <c r="X9" s="32">
        <f>X6+X8</f>
        <v>25798.99</v>
      </c>
      <c r="Y9" s="32">
        <f>Y6</f>
        <v>88.7</v>
      </c>
      <c r="Z9" s="102">
        <f>V9+W9-X9-Y9-AA9</f>
        <v>727102.48</v>
      </c>
      <c r="AA9" s="103">
        <f>AA6+AA8</f>
        <v>0</v>
      </c>
      <c r="AB9" s="104">
        <f>'4.4'!AF9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'4.4'!AK9</f>
        <v>2.2737367544323201E-13</v>
      </c>
      <c r="AH9" s="199">
        <v>491.18</v>
      </c>
      <c r="AI9" s="199">
        <v>18.34</v>
      </c>
      <c r="AJ9" s="199">
        <v>272.66000000000003</v>
      </c>
      <c r="AK9" s="125">
        <f>AG9+AH9-AI9-AJ9+AK14-AL14</f>
        <v>200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951917.68</v>
      </c>
      <c r="AN10" s="130">
        <f t="shared" si="2"/>
        <v>8680.75</v>
      </c>
      <c r="AO10" s="43">
        <f t="shared" si="2"/>
        <v>0</v>
      </c>
      <c r="AP10" s="43">
        <f t="shared" si="2"/>
        <v>40278</v>
      </c>
      <c r="AQ10" s="53">
        <f t="shared" si="2"/>
        <v>920320.43</v>
      </c>
      <c r="AR10" s="154">
        <f t="shared" si="2"/>
        <v>920320.43</v>
      </c>
      <c r="AS10" s="155">
        <f>ROUND(AR10-AQ10,2)</f>
        <v>0</v>
      </c>
    </row>
    <row r="11" spans="1:45" ht="18" customHeight="1">
      <c r="A11" s="266">
        <v>80074.19</v>
      </c>
      <c r="B11" s="266"/>
      <c r="C11" s="165"/>
      <c r="D11" s="297"/>
      <c r="E11" s="264"/>
      <c r="F11" s="358"/>
      <c r="G11" s="49" t="s">
        <v>76</v>
      </c>
      <c r="H11" s="166">
        <v>6635.35</v>
      </c>
      <c r="I11" s="172"/>
      <c r="J11" s="173"/>
      <c r="K11" s="72">
        <f>ROUND(K6+K7+K8-K9,2)</f>
        <v>0</v>
      </c>
      <c r="L11" s="164">
        <v>754</v>
      </c>
      <c r="M11" s="267"/>
      <c r="N11" s="267"/>
      <c r="O11" s="49" t="s">
        <v>37</v>
      </c>
      <c r="P11" s="175"/>
      <c r="Q11" s="85" t="s">
        <v>77</v>
      </c>
      <c r="R11" s="181"/>
      <c r="S11" s="182">
        <v>1833.93</v>
      </c>
      <c r="T11" s="183"/>
      <c r="U11" s="184"/>
      <c r="V11" s="350"/>
      <c r="W11" s="351"/>
      <c r="X11" s="294"/>
      <c r="Y11" s="294"/>
      <c r="Z11" s="330"/>
      <c r="AA11" s="175">
        <v>727102.48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>
        <v>16.64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2045.4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'4.4'!AK12</f>
        <v>680.2</v>
      </c>
      <c r="AH12" s="194">
        <v>14060.71</v>
      </c>
      <c r="AI12" s="132">
        <f>AG12+AH12-AJ12-AK12</f>
        <v>2038.45</v>
      </c>
      <c r="AJ12" s="194">
        <v>11792.87</v>
      </c>
      <c r="AK12" s="207">
        <v>909.59</v>
      </c>
      <c r="AL12" s="340"/>
      <c r="AM12" s="134">
        <f>'4.4'!AQ12</f>
        <v>858574.89</v>
      </c>
      <c r="AN12" s="38">
        <f>H11+P12+R12</f>
        <v>6635.35</v>
      </c>
      <c r="AO12" s="166"/>
      <c r="AP12" s="166">
        <v>39580</v>
      </c>
      <c r="AQ12" s="32">
        <f>AM12+AN12+AO12-AP12</f>
        <v>825630.24</v>
      </c>
      <c r="AR12" s="166">
        <v>825630.24</v>
      </c>
      <c r="AS12" s="155">
        <f>ROUND(AR12-AQ12,2)</f>
        <v>0</v>
      </c>
    </row>
    <row r="13" spans="1:45" ht="27" customHeight="1">
      <c r="A13" s="361"/>
      <c r="B13" s="361"/>
      <c r="C13" s="53">
        <f>ROUND(C6-A11,2)</f>
        <v>-2.97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35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6.16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36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418" t="s">
        <v>186</v>
      </c>
      <c r="M14" s="418"/>
      <c r="N14" s="418"/>
      <c r="O14" s="418"/>
      <c r="P14" s="418"/>
      <c r="Q14" s="91" t="s">
        <v>103</v>
      </c>
      <c r="R14" s="185"/>
      <c r="S14" s="186">
        <v>8.3699999999999992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491</v>
      </c>
      <c r="AK14" s="138">
        <f>IF(AJ14-AH9&gt;0,AJ14-AH9,IF(AJ14-AH9&lt;=0,0))</f>
        <v>0</v>
      </c>
      <c r="AL14" s="139">
        <f>IF(AH9-AJ14&gt;0,AH9-AJ14,IF(AJ14-AH9&lt;=0,0))</f>
        <v>0.18000000000000699</v>
      </c>
      <c r="AM14" s="66">
        <f>'4.4'!AQ14</f>
        <v>93342.79</v>
      </c>
      <c r="AN14" s="38">
        <f>I11+P13+S12</f>
        <v>2045.4</v>
      </c>
      <c r="AO14" s="181"/>
      <c r="AP14" s="181">
        <v>698</v>
      </c>
      <c r="AQ14" s="32">
        <f>AM14+AN14+AO14-AP14</f>
        <v>94690.19</v>
      </c>
      <c r="AR14" s="181">
        <v>94690.19</v>
      </c>
      <c r="AS14" s="155">
        <f>ROUND(AR14-AQ14,2)</f>
        <v>0</v>
      </c>
    </row>
    <row r="15" spans="1:45" ht="18" customHeight="1">
      <c r="A15" s="371" t="s">
        <v>187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'4.4'!AQ16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'4.4'!AQ18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'4.4'!Q19</f>
        <v>3429.4500000000398</v>
      </c>
      <c r="D19" s="277"/>
      <c r="E19" s="267">
        <v>38309</v>
      </c>
      <c r="F19" s="267"/>
      <c r="G19" s="46" t="s">
        <v>139</v>
      </c>
      <c r="H19" s="58">
        <f>'4.4'!K19</f>
        <v>154551.23000000001</v>
      </c>
      <c r="I19" s="76"/>
      <c r="J19" s="49"/>
      <c r="K19" s="49">
        <v>156341.98000000001</v>
      </c>
      <c r="L19" s="178"/>
      <c r="M19" s="277">
        <f>IF(I19=J19=0,K19-H19-L19,IF(I19&gt;J19&gt;0,I19-H19+K19-J19-L19))</f>
        <v>1790.75</v>
      </c>
      <c r="N19" s="277"/>
      <c r="O19" s="362">
        <f>M19+M20+M21+M22</f>
        <v>7668.5100000000102</v>
      </c>
      <c r="P19" s="363"/>
      <c r="Q19" s="362">
        <f>C19+E19-O19</f>
        <v>34069.94</v>
      </c>
      <c r="R19" s="363"/>
      <c r="S19" s="366">
        <v>30641</v>
      </c>
      <c r="T19" s="357"/>
      <c r="U19" s="323">
        <f>S19-Q19</f>
        <v>-3428.9400000000301</v>
      </c>
      <c r="V19" s="323">
        <f>U19-'4.4'!U19:U22</f>
        <v>0.51000000000749401</v>
      </c>
      <c r="W19" s="325"/>
      <c r="X19" s="409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1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'4.4'!Q20</f>
        <v>0</v>
      </c>
      <c r="D20" s="277"/>
      <c r="E20" s="267"/>
      <c r="F20" s="267"/>
      <c r="G20" s="46" t="s">
        <v>147</v>
      </c>
      <c r="H20" s="58">
        <f>'4.4'!K20</f>
        <v>231817.37</v>
      </c>
      <c r="I20" s="76"/>
      <c r="J20" s="49"/>
      <c r="K20" s="49">
        <v>234390.18</v>
      </c>
      <c r="L20" s="178"/>
      <c r="M20" s="277">
        <f t="shared" ref="M20:M26" si="3">IF(I20=J20=0,K20-H20-L20,IF(I20&gt;J20&gt;0,I20-H20+K20-J20-L20))</f>
        <v>2572.81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412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4"/>
      <c r="AM20" s="142">
        <f>'4.4'!AQ20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'4.4'!Q21</f>
        <v>0</v>
      </c>
      <c r="D21" s="277"/>
      <c r="E21" s="267"/>
      <c r="F21" s="267"/>
      <c r="G21" s="46" t="s">
        <v>148</v>
      </c>
      <c r="H21" s="58">
        <f>'4.4'!K21</f>
        <v>145301.87</v>
      </c>
      <c r="I21" s="76"/>
      <c r="J21" s="49"/>
      <c r="K21" s="49">
        <v>146756.28</v>
      </c>
      <c r="L21" s="178"/>
      <c r="M21" s="277">
        <f t="shared" si="3"/>
        <v>1454.41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412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4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'4.4'!Q22</f>
        <v>0</v>
      </c>
      <c r="D22" s="277"/>
      <c r="E22" s="267"/>
      <c r="F22" s="267"/>
      <c r="G22" s="46" t="s">
        <v>156</v>
      </c>
      <c r="H22" s="58">
        <f>'4.4'!K22</f>
        <v>176807.75</v>
      </c>
      <c r="I22" s="76"/>
      <c r="J22" s="49"/>
      <c r="K22" s="49">
        <v>178658.29</v>
      </c>
      <c r="L22" s="178"/>
      <c r="M22" s="277">
        <f t="shared" si="3"/>
        <v>1850.54000000001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15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7"/>
      <c r="AM22" s="145">
        <f>'4.4'!AQ22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'4.4'!Q23</f>
        <v>3202.26</v>
      </c>
      <c r="D23" s="277"/>
      <c r="E23" s="267">
        <v>6118</v>
      </c>
      <c r="F23" s="267"/>
      <c r="G23" s="46" t="s">
        <v>157</v>
      </c>
      <c r="H23" s="58">
        <f>'4.4'!K23</f>
        <v>61440.6</v>
      </c>
      <c r="I23" s="76"/>
      <c r="J23" s="49"/>
      <c r="K23" s="49">
        <v>61978.879999999997</v>
      </c>
      <c r="L23" s="178"/>
      <c r="M23" s="277">
        <f t="shared" si="3"/>
        <v>538.27999999999895</v>
      </c>
      <c r="N23" s="277"/>
      <c r="O23" s="277">
        <f>M23+M24+M25</f>
        <v>2645.6499999999901</v>
      </c>
      <c r="P23" s="277"/>
      <c r="Q23" s="277">
        <f>C23+E23-O23</f>
        <v>6674.61</v>
      </c>
      <c r="R23" s="277"/>
      <c r="S23" s="267">
        <v>8399</v>
      </c>
      <c r="T23" s="267"/>
      <c r="U23" s="277">
        <f>S23-Q23</f>
        <v>1724.39</v>
      </c>
      <c r="V23" s="277">
        <f>U23-'4.4'!U23:U25</f>
        <v>0.249999999995453</v>
      </c>
      <c r="W23" s="267"/>
      <c r="X23" s="250" t="s">
        <v>188</v>
      </c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'4.4'!Q24</f>
        <v>0</v>
      </c>
      <c r="D24" s="277"/>
      <c r="E24" s="267"/>
      <c r="F24" s="267"/>
      <c r="G24" s="46" t="s">
        <v>137</v>
      </c>
      <c r="H24" s="58">
        <f>'4.4'!K24</f>
        <v>143331.41</v>
      </c>
      <c r="I24" s="76"/>
      <c r="J24" s="49"/>
      <c r="K24" s="49">
        <v>144661.62</v>
      </c>
      <c r="L24" s="178"/>
      <c r="M24" s="277">
        <f t="shared" si="3"/>
        <v>1330.20999999999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'4.4'!AQ24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'4.4'!Q25</f>
        <v>0</v>
      </c>
      <c r="D25" s="277"/>
      <c r="E25" s="267"/>
      <c r="F25" s="267"/>
      <c r="G25" s="46" t="s">
        <v>166</v>
      </c>
      <c r="H25" s="58">
        <f>'4.4'!K25</f>
        <v>114584.86</v>
      </c>
      <c r="I25" s="76"/>
      <c r="J25" s="49"/>
      <c r="K25" s="49">
        <v>115362.02</v>
      </c>
      <c r="L25" s="178"/>
      <c r="M25" s="277">
        <f t="shared" si="3"/>
        <v>777.16000000000304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'4.4'!Q26</f>
        <v>7330.58</v>
      </c>
      <c r="D26" s="277"/>
      <c r="E26" s="278"/>
      <c r="F26" s="279"/>
      <c r="G26" s="28" t="s">
        <v>175</v>
      </c>
      <c r="H26" s="58">
        <f>'4.4'!K26</f>
        <v>13873.94</v>
      </c>
      <c r="I26" s="76"/>
      <c r="J26" s="49"/>
      <c r="K26" s="49">
        <v>14297.1</v>
      </c>
      <c r="L26" s="178"/>
      <c r="M26" s="277">
        <f t="shared" si="3"/>
        <v>423.16</v>
      </c>
      <c r="N26" s="277"/>
      <c r="O26" s="277">
        <f>M26</f>
        <v>423.16</v>
      </c>
      <c r="P26" s="277"/>
      <c r="Q26" s="277">
        <f>C26+E26-O26</f>
        <v>6907.42</v>
      </c>
      <c r="R26" s="277"/>
      <c r="S26" s="267">
        <v>6341</v>
      </c>
      <c r="T26" s="267"/>
      <c r="U26" s="53">
        <f>S26-Q26</f>
        <v>-566.41999999999996</v>
      </c>
      <c r="V26" s="53">
        <f>U26-'4.4'!U26</f>
        <v>-0.140000000000327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'4.4'!AQ26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5">
      <c r="O28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94" priority="1" operator="notEqual">
      <formula>0</formula>
    </cfRule>
  </conditionalFormatting>
  <conditionalFormatting sqref="W14">
    <cfRule type="cellIs" dxfId="93" priority="2" operator="notEqual">
      <formula>0</formula>
    </cfRule>
  </conditionalFormatting>
  <conditionalFormatting sqref="AS14 AS16 AS18 AS20 AS22 AS24 AS26 AS12 K11 AS6 AS8 AS10 AA13">
    <cfRule type="cellIs" dxfId="92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9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'4.5'!AO1:AS2+1</f>
        <v>45753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102840.11</v>
      </c>
      <c r="D6" s="158">
        <v>9232.8799999999992</v>
      </c>
      <c r="E6" s="34">
        <f>'4.5'!K6</f>
        <v>2218.39</v>
      </c>
      <c r="F6" s="159">
        <v>39289.910000000003</v>
      </c>
      <c r="G6" s="303">
        <v>142.08000000000001</v>
      </c>
      <c r="H6" s="306">
        <f>H12+I12+J12</f>
        <v>16.739999999999998</v>
      </c>
      <c r="I6" s="303">
        <v>56634.05</v>
      </c>
      <c r="J6" s="306">
        <f>H11+I11+J11</f>
        <v>6670.41</v>
      </c>
      <c r="K6" s="158">
        <v>3501.02</v>
      </c>
      <c r="L6" s="312"/>
      <c r="M6" s="164">
        <v>3608.68</v>
      </c>
      <c r="N6" s="306">
        <f>M9-R6</f>
        <v>5022.3999999999996</v>
      </c>
      <c r="O6" s="313">
        <f>P11+P12+P13</f>
        <v>0</v>
      </c>
      <c r="P6" s="315"/>
      <c r="Q6" s="316"/>
      <c r="R6" s="306">
        <f>R11+S11+T11+U11</f>
        <v>2956.28</v>
      </c>
      <c r="S6" s="306">
        <f>R12+S12+T12+U12</f>
        <v>1911.37</v>
      </c>
      <c r="T6" s="306">
        <f>R13+S13+T13+U13</f>
        <v>5.78</v>
      </c>
      <c r="U6" s="320"/>
      <c r="V6" s="312"/>
      <c r="W6" s="77"/>
      <c r="X6" s="179">
        <v>31817.42</v>
      </c>
      <c r="Y6" s="303">
        <v>-211.73</v>
      </c>
      <c r="Z6" s="327"/>
      <c r="AA6" s="189"/>
      <c r="AB6" s="331"/>
      <c r="AC6" s="190"/>
      <c r="AD6" s="303"/>
      <c r="AE6" s="303"/>
      <c r="AF6" s="334"/>
      <c r="AG6" s="113">
        <f>'4.5'!AK6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1227057.18</v>
      </c>
      <c r="AN6" s="119">
        <f>AN8+AN10</f>
        <v>81100.429999999993</v>
      </c>
      <c r="AO6" s="119">
        <f t="shared" ref="AO6:AP6" si="0">AO8+AO10</f>
        <v>0</v>
      </c>
      <c r="AP6" s="119">
        <f t="shared" si="0"/>
        <v>291010</v>
      </c>
      <c r="AQ6" s="147">
        <f>AM6+AN6+AO6-AP6</f>
        <v>1017147.61</v>
      </c>
      <c r="AR6" s="138">
        <f>AR8+AR10</f>
        <v>1017147.61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32322</v>
      </c>
      <c r="D7" s="160"/>
      <c r="E7" s="34">
        <f>'4.5'!K7</f>
        <v>0</v>
      </c>
      <c r="F7" s="161">
        <v>28228</v>
      </c>
      <c r="G7" s="304"/>
      <c r="H7" s="307"/>
      <c r="I7" s="304"/>
      <c r="J7" s="307"/>
      <c r="K7" s="168">
        <v>2797</v>
      </c>
      <c r="L7" s="312"/>
      <c r="M7" s="169">
        <v>4094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32322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282.5</v>
      </c>
      <c r="D8" s="162"/>
      <c r="E8" s="34">
        <f>'4.5'!K8</f>
        <v>18.5</v>
      </c>
      <c r="F8" s="163">
        <v>6.5</v>
      </c>
      <c r="G8" s="305"/>
      <c r="H8" s="308"/>
      <c r="I8" s="305"/>
      <c r="J8" s="308"/>
      <c r="K8" s="162"/>
      <c r="L8" s="312"/>
      <c r="M8" s="170">
        <v>276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'4.5'!AQ8</f>
        <v>306736.75</v>
      </c>
      <c r="AN8" s="122">
        <f>I6+AJ6+AL9+P11+AJ12+AJ9+AD9</f>
        <v>72518.649999999994</v>
      </c>
      <c r="AO8" s="202"/>
      <c r="AP8" s="202"/>
      <c r="AQ8" s="151">
        <f>AM8+AN8+AO8-AP8</f>
        <v>379255.4</v>
      </c>
      <c r="AR8" s="203">
        <v>379255.4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135444.60999999999</v>
      </c>
      <c r="D9" s="44">
        <f t="shared" ref="D9:F9" si="1">D6+D7+D8</f>
        <v>9232.8799999999992</v>
      </c>
      <c r="E9" s="45">
        <f>'4.5'!K9</f>
        <v>2236.8900000000399</v>
      </c>
      <c r="F9" s="32">
        <f t="shared" si="1"/>
        <v>67524.41</v>
      </c>
      <c r="G9" s="32">
        <f>G6</f>
        <v>142.08000000000001</v>
      </c>
      <c r="H9" s="32">
        <f>H6</f>
        <v>16.739999999999998</v>
      </c>
      <c r="I9" s="32">
        <f>I6</f>
        <v>56634.05</v>
      </c>
      <c r="J9" s="32">
        <f>J6</f>
        <v>6670.41</v>
      </c>
      <c r="K9" s="65">
        <f>E9+F9-G9-H9-I9-J9</f>
        <v>6298.0200000000405</v>
      </c>
      <c r="L9" s="66">
        <f>'4.5'!P9</f>
        <v>41804.830000000104</v>
      </c>
      <c r="M9" s="32">
        <f>M6+M7+M8</f>
        <v>7978.68</v>
      </c>
      <c r="N9" s="32">
        <f>N6</f>
        <v>5022.3999999999996</v>
      </c>
      <c r="O9" s="32">
        <f>O6</f>
        <v>0</v>
      </c>
      <c r="P9" s="65">
        <f>L9+N9-O9+L11-L13</f>
        <v>42484.230000000098</v>
      </c>
      <c r="Q9" s="34">
        <f>'4.5'!U9</f>
        <v>8.3700000000001999</v>
      </c>
      <c r="R9" s="32">
        <f>R6</f>
        <v>2956.28</v>
      </c>
      <c r="S9" s="32">
        <f>S6</f>
        <v>1911.37</v>
      </c>
      <c r="T9" s="32">
        <f>T6</f>
        <v>5.78</v>
      </c>
      <c r="U9" s="65">
        <f>Q9+R9-S9-T9</f>
        <v>1047.5</v>
      </c>
      <c r="V9" s="66">
        <f>'4.5'!Z9</f>
        <v>727102.48</v>
      </c>
      <c r="W9" s="32">
        <f>W7</f>
        <v>32322</v>
      </c>
      <c r="X9" s="32">
        <f>X6+X8</f>
        <v>31817.42</v>
      </c>
      <c r="Y9" s="32">
        <f>Y6</f>
        <v>-211.73</v>
      </c>
      <c r="Z9" s="102">
        <f>V9+W9-X9-Y9-AA9</f>
        <v>727818.79</v>
      </c>
      <c r="AA9" s="103">
        <f>AA6+AA8</f>
        <v>0</v>
      </c>
      <c r="AB9" s="104">
        <f>'4.5'!AF9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'4.5'!AK9</f>
        <v>200</v>
      </c>
      <c r="AH9" s="199">
        <v>857</v>
      </c>
      <c r="AI9" s="199">
        <v>66.599999999999994</v>
      </c>
      <c r="AJ9" s="199">
        <v>990.4</v>
      </c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920320.43</v>
      </c>
      <c r="AN10" s="130">
        <f t="shared" si="2"/>
        <v>8581.7800000000007</v>
      </c>
      <c r="AO10" s="43">
        <f t="shared" si="2"/>
        <v>0</v>
      </c>
      <c r="AP10" s="43">
        <f t="shared" si="2"/>
        <v>291010</v>
      </c>
      <c r="AQ10" s="53">
        <f t="shared" si="2"/>
        <v>637892.21</v>
      </c>
      <c r="AR10" s="154">
        <f t="shared" si="2"/>
        <v>637892.21</v>
      </c>
      <c r="AS10" s="155">
        <f>ROUND(AR10-AQ10,2)</f>
        <v>0</v>
      </c>
    </row>
    <row r="11" spans="1:45" ht="18" customHeight="1">
      <c r="A11" s="266">
        <v>102995.79</v>
      </c>
      <c r="B11" s="266"/>
      <c r="C11" s="165"/>
      <c r="D11" s="297"/>
      <c r="E11" s="264"/>
      <c r="F11" s="358"/>
      <c r="G11" s="49" t="s">
        <v>76</v>
      </c>
      <c r="H11" s="166">
        <v>6670.41</v>
      </c>
      <c r="I11" s="172"/>
      <c r="J11" s="173"/>
      <c r="K11" s="72">
        <f>ROUND(K6+K7+K8-K9,2)</f>
        <v>0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>
        <v>2956.28</v>
      </c>
      <c r="T11" s="183"/>
      <c r="U11" s="184"/>
      <c r="V11" s="350"/>
      <c r="W11" s="351"/>
      <c r="X11" s="294"/>
      <c r="Y11" s="294"/>
      <c r="Z11" s="330"/>
      <c r="AA11" s="175">
        <v>727818.79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410" t="s">
        <v>189</v>
      </c>
      <c r="B12" s="410"/>
      <c r="C12" s="28" t="s">
        <v>86</v>
      </c>
      <c r="D12" s="298"/>
      <c r="E12" s="264"/>
      <c r="F12" s="358"/>
      <c r="G12" s="49" t="s">
        <v>21</v>
      </c>
      <c r="H12" s="166">
        <v>16.739999999999998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1911.37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'4.5'!AK12</f>
        <v>909.59</v>
      </c>
      <c r="AH12" s="194">
        <v>18034.22</v>
      </c>
      <c r="AI12" s="132">
        <f>AG12+AH12-AJ12-AK12</f>
        <v>2561.3900000000099</v>
      </c>
      <c r="AJ12" s="194">
        <v>14894.2</v>
      </c>
      <c r="AK12" s="207">
        <v>1488.22</v>
      </c>
      <c r="AL12" s="340"/>
      <c r="AM12" s="134">
        <f>'4.5'!AQ12</f>
        <v>825630.24</v>
      </c>
      <c r="AN12" s="38">
        <f>H11+P12+R12</f>
        <v>6670.41</v>
      </c>
      <c r="AO12" s="166"/>
      <c r="AP12" s="166">
        <v>289750</v>
      </c>
      <c r="AQ12" s="32">
        <f>AM12+AN12+AO12-AP12</f>
        <v>542550.65</v>
      </c>
      <c r="AR12" s="166">
        <v>542550.65</v>
      </c>
      <c r="AS12" s="155">
        <f>ROUND(AR12-AQ12,2)</f>
        <v>0</v>
      </c>
    </row>
    <row r="13" spans="1:45" ht="27" customHeight="1">
      <c r="A13" s="413"/>
      <c r="B13" s="413"/>
      <c r="C13" s="53">
        <f>ROUND(C6-A11,2)</f>
        <v>-155.68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4343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5.78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428"/>
      <c r="B14" s="429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190</v>
      </c>
      <c r="M14" s="269"/>
      <c r="N14" s="269"/>
      <c r="O14" s="269"/>
      <c r="P14" s="269"/>
      <c r="Q14" s="91" t="s">
        <v>103</v>
      </c>
      <c r="R14" s="185"/>
      <c r="S14" s="186">
        <v>1047.5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857</v>
      </c>
      <c r="AK14" s="138">
        <f>IF(AJ14-AH9&gt;0,AJ14-AH9,IF(AJ14-AH9&lt;=0,0))</f>
        <v>0</v>
      </c>
      <c r="AL14" s="139">
        <f>IF(AH9-AJ14&gt;0,AH9-AJ14,IF(AJ14-AH9&lt;=0,0))</f>
        <v>0</v>
      </c>
      <c r="AM14" s="66">
        <f>'4.5'!AQ14</f>
        <v>94690.19</v>
      </c>
      <c r="AN14" s="38">
        <f>I11+P13+S12</f>
        <v>1911.37</v>
      </c>
      <c r="AO14" s="181"/>
      <c r="AP14" s="181">
        <v>1260</v>
      </c>
      <c r="AQ14" s="32">
        <f>AM14+AN14+AO14-AP14</f>
        <v>95341.56</v>
      </c>
      <c r="AR14" s="181">
        <v>95341.56</v>
      </c>
      <c r="AS14" s="155">
        <f>ROUND(AR14-AQ14,2)</f>
        <v>0</v>
      </c>
    </row>
    <row r="15" spans="1:45" ht="18" customHeight="1">
      <c r="A15" s="371" t="s">
        <v>191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'4.5'!AQ16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'4.5'!AQ18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'4.5'!Q19</f>
        <v>34069.94</v>
      </c>
      <c r="D19" s="277"/>
      <c r="E19" s="267"/>
      <c r="F19" s="267"/>
      <c r="G19" s="46" t="s">
        <v>139</v>
      </c>
      <c r="H19" s="58">
        <f>'4.5'!K19</f>
        <v>156341.98000000001</v>
      </c>
      <c r="I19" s="76"/>
      <c r="J19" s="49"/>
      <c r="K19" s="49">
        <v>158630.09</v>
      </c>
      <c r="L19" s="178"/>
      <c r="M19" s="277">
        <f>IF(I19=J19=0,K19-H19-L19,IF(I19&gt;J19&gt;0,I19-H19+K19-J19-L19))</f>
        <v>2288.1099999999901</v>
      </c>
      <c r="N19" s="277"/>
      <c r="O19" s="362">
        <f>M19+M20+M21+M22</f>
        <v>9711.3700000000008</v>
      </c>
      <c r="P19" s="363"/>
      <c r="Q19" s="362">
        <f>C19+E19-O19</f>
        <v>24358.57</v>
      </c>
      <c r="R19" s="363"/>
      <c r="S19" s="366">
        <v>23336</v>
      </c>
      <c r="T19" s="357"/>
      <c r="U19" s="323">
        <f>S19-Q19</f>
        <v>-1022.5700000000101</v>
      </c>
      <c r="V19" s="323">
        <f>U19-'4.5'!U19:U22</f>
        <v>2406.3700000000199</v>
      </c>
      <c r="W19" s="325"/>
      <c r="X19" s="419" t="s">
        <v>192</v>
      </c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1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'4.5'!Q20</f>
        <v>0</v>
      </c>
      <c r="D20" s="277"/>
      <c r="E20" s="267"/>
      <c r="F20" s="267"/>
      <c r="G20" s="46" t="s">
        <v>147</v>
      </c>
      <c r="H20" s="58">
        <f>'4.5'!K20</f>
        <v>234390.18</v>
      </c>
      <c r="I20" s="76"/>
      <c r="J20" s="49"/>
      <c r="K20" s="49">
        <v>237253.07</v>
      </c>
      <c r="L20" s="178"/>
      <c r="M20" s="277">
        <f t="shared" ref="M20:M26" si="3">IF(I20=J20=0,K20-H20-L20,IF(I20&gt;J20&gt;0,I20-H20+K20-J20-L20))</f>
        <v>2862.8900000000099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422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4"/>
      <c r="AM20" s="142">
        <f>'4.5'!AQ20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'4.5'!Q21</f>
        <v>0</v>
      </c>
      <c r="D21" s="277"/>
      <c r="E21" s="267"/>
      <c r="F21" s="267"/>
      <c r="G21" s="46" t="s">
        <v>148</v>
      </c>
      <c r="H21" s="58">
        <f>'4.5'!K21</f>
        <v>146756.28</v>
      </c>
      <c r="I21" s="76"/>
      <c r="J21" s="49"/>
      <c r="K21" s="49">
        <v>148628.99</v>
      </c>
      <c r="L21" s="178"/>
      <c r="M21" s="277">
        <f t="shared" si="3"/>
        <v>1872.70999999999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422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4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'4.5'!Q22</f>
        <v>0</v>
      </c>
      <c r="D22" s="277"/>
      <c r="E22" s="267"/>
      <c r="F22" s="267"/>
      <c r="G22" s="46" t="s">
        <v>156</v>
      </c>
      <c r="H22" s="58">
        <f>'4.5'!K22</f>
        <v>178658.29</v>
      </c>
      <c r="I22" s="76"/>
      <c r="J22" s="49"/>
      <c r="K22" s="49">
        <v>181345.95</v>
      </c>
      <c r="L22" s="178"/>
      <c r="M22" s="277">
        <f t="shared" si="3"/>
        <v>2687.66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25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426"/>
      <c r="AL22" s="427"/>
      <c r="AM22" s="145">
        <f>'4.5'!AQ22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'4.5'!Q23</f>
        <v>6674.61</v>
      </c>
      <c r="D23" s="277"/>
      <c r="E23" s="267"/>
      <c r="F23" s="267"/>
      <c r="G23" s="46" t="s">
        <v>157</v>
      </c>
      <c r="H23" s="58">
        <f>'4.5'!K23</f>
        <v>61978.879999999997</v>
      </c>
      <c r="I23" s="76"/>
      <c r="J23" s="49"/>
      <c r="K23" s="49">
        <v>62675.29</v>
      </c>
      <c r="L23" s="178"/>
      <c r="M23" s="277">
        <f t="shared" si="3"/>
        <v>696.41000000000304</v>
      </c>
      <c r="N23" s="277"/>
      <c r="O23" s="277">
        <f>M23+M24+M25</f>
        <v>3433.9300000000098</v>
      </c>
      <c r="P23" s="277"/>
      <c r="Q23" s="277">
        <f>C23+E23-O23</f>
        <v>3240.6799999999898</v>
      </c>
      <c r="R23" s="277"/>
      <c r="S23" s="267">
        <v>6086</v>
      </c>
      <c r="T23" s="267"/>
      <c r="U23" s="277">
        <f>S23-Q23</f>
        <v>2845.3200000000102</v>
      </c>
      <c r="V23" s="277">
        <f>U23-'4.5'!U23:U25</f>
        <v>1120.9300000000101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'4.5'!Q24</f>
        <v>0</v>
      </c>
      <c r="D24" s="277"/>
      <c r="E24" s="267"/>
      <c r="F24" s="267"/>
      <c r="G24" s="46" t="s">
        <v>137</v>
      </c>
      <c r="H24" s="58">
        <f>'4.5'!K24</f>
        <v>144661.62</v>
      </c>
      <c r="I24" s="76"/>
      <c r="J24" s="49"/>
      <c r="K24" s="49">
        <v>146325.84</v>
      </c>
      <c r="L24" s="178"/>
      <c r="M24" s="277">
        <f t="shared" si="3"/>
        <v>1664.22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'4.5'!AQ24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'4.5'!Q25</f>
        <v>0</v>
      </c>
      <c r="D25" s="277"/>
      <c r="E25" s="267"/>
      <c r="F25" s="267"/>
      <c r="G25" s="46" t="s">
        <v>166</v>
      </c>
      <c r="H25" s="58">
        <f>'4.5'!K25</f>
        <v>115362.02</v>
      </c>
      <c r="I25" s="76"/>
      <c r="J25" s="49"/>
      <c r="K25" s="49">
        <v>116435.32</v>
      </c>
      <c r="L25" s="178"/>
      <c r="M25" s="277">
        <f t="shared" si="3"/>
        <v>1073.3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'4.5'!Q26</f>
        <v>6907.42</v>
      </c>
      <c r="D26" s="277"/>
      <c r="E26" s="278"/>
      <c r="F26" s="279"/>
      <c r="G26" s="28" t="s">
        <v>175</v>
      </c>
      <c r="H26" s="58">
        <f>'4.5'!K26</f>
        <v>14297.1</v>
      </c>
      <c r="I26" s="76"/>
      <c r="J26" s="49"/>
      <c r="K26" s="49">
        <v>14969.79</v>
      </c>
      <c r="L26" s="178"/>
      <c r="M26" s="277">
        <f t="shared" si="3"/>
        <v>672.69000000000096</v>
      </c>
      <c r="N26" s="277"/>
      <c r="O26" s="277">
        <f>M26</f>
        <v>672.69000000000096</v>
      </c>
      <c r="P26" s="277"/>
      <c r="Q26" s="277">
        <f>C26+E26-O26</f>
        <v>6234.73</v>
      </c>
      <c r="R26" s="277"/>
      <c r="S26" s="267">
        <v>5400.5</v>
      </c>
      <c r="T26" s="267"/>
      <c r="U26" s="53">
        <f>S26-Q26</f>
        <v>-834.23</v>
      </c>
      <c r="V26" s="53">
        <f>U26-'4.5'!U26</f>
        <v>-267.81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'4.5'!AQ26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9" spans="1:45">
      <c r="J29" s="27" t="s">
        <v>176</v>
      </c>
      <c r="K29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91" priority="1" operator="notEqual">
      <formula>0</formula>
    </cfRule>
  </conditionalFormatting>
  <conditionalFormatting sqref="W14">
    <cfRule type="cellIs" dxfId="90" priority="3" operator="notEqual">
      <formula>0</formula>
    </cfRule>
  </conditionalFormatting>
  <conditionalFormatting sqref="Y35">
    <cfRule type="cellIs" dxfId="89" priority="2" operator="notEqual">
      <formula>0</formula>
    </cfRule>
  </conditionalFormatting>
  <conditionalFormatting sqref="AS14 AS16 AS18 AS20 AS22 AS24 AS26 AS12 K11 AS6 AS8 AS10 AA13">
    <cfRule type="cellIs" dxfId="88" priority="4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8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'4.6'!AO1:AS2+1</f>
        <v>45754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80402.960000000006</v>
      </c>
      <c r="D6" s="158">
        <v>7278.39</v>
      </c>
      <c r="E6" s="34">
        <f>'4.6'!K6</f>
        <v>3501.02</v>
      </c>
      <c r="F6" s="159">
        <v>29405.07</v>
      </c>
      <c r="G6" s="303">
        <v>135.01</v>
      </c>
      <c r="H6" s="306">
        <f>H12+I12+J12</f>
        <v>7.4</v>
      </c>
      <c r="I6" s="303">
        <v>53804.78</v>
      </c>
      <c r="J6" s="306">
        <f>H11+I11+J11</f>
        <v>2945.32</v>
      </c>
      <c r="K6" s="158">
        <v>1740.58</v>
      </c>
      <c r="L6" s="312"/>
      <c r="M6" s="164">
        <v>4074.95</v>
      </c>
      <c r="N6" s="306">
        <f>M9-R6</f>
        <v>7927.32</v>
      </c>
      <c r="O6" s="313">
        <f>P11+P12+P13</f>
        <v>0</v>
      </c>
      <c r="P6" s="315"/>
      <c r="Q6" s="316"/>
      <c r="R6" s="306">
        <f>R11+S11+T11+U11</f>
        <v>2886.13</v>
      </c>
      <c r="S6" s="306">
        <f>R12+S12+T12+U12</f>
        <v>3667.58</v>
      </c>
      <c r="T6" s="306">
        <f>R13+S13+T13+U13</f>
        <v>14.09</v>
      </c>
      <c r="U6" s="320"/>
      <c r="V6" s="312"/>
      <c r="W6" s="77"/>
      <c r="X6" s="179">
        <v>23575.79</v>
      </c>
      <c r="Y6" s="303"/>
      <c r="Z6" s="327"/>
      <c r="AA6" s="189"/>
      <c r="AB6" s="331"/>
      <c r="AC6" s="190"/>
      <c r="AD6" s="303"/>
      <c r="AE6" s="303"/>
      <c r="AF6" s="334"/>
      <c r="AG6" s="113">
        <f>'4.6'!AK6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1017147.61</v>
      </c>
      <c r="AN6" s="119">
        <f>AN8+AN10</f>
        <v>74990.84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1092138.45</v>
      </c>
      <c r="AR6" s="138">
        <f>AR8+AR10</f>
        <v>1092138.45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30578</v>
      </c>
      <c r="D7" s="160"/>
      <c r="E7" s="34">
        <f>'4.6'!K7</f>
        <v>2797</v>
      </c>
      <c r="F7" s="161">
        <v>23978</v>
      </c>
      <c r="G7" s="304"/>
      <c r="H7" s="307"/>
      <c r="I7" s="304"/>
      <c r="J7" s="307"/>
      <c r="K7" s="168">
        <v>1064</v>
      </c>
      <c r="L7" s="312"/>
      <c r="M7" s="169">
        <v>6600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30578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164.5</v>
      </c>
      <c r="D8" s="162"/>
      <c r="E8" s="34">
        <f>'4.6'!K8</f>
        <v>0</v>
      </c>
      <c r="F8" s="163">
        <v>26</v>
      </c>
      <c r="G8" s="305"/>
      <c r="H8" s="308"/>
      <c r="I8" s="305"/>
      <c r="J8" s="308"/>
      <c r="K8" s="162">
        <v>10</v>
      </c>
      <c r="L8" s="312"/>
      <c r="M8" s="170">
        <v>138.5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'4.6'!AQ8</f>
        <v>379255.4</v>
      </c>
      <c r="AN8" s="122">
        <f>I6+AJ6+AL9+P11+AJ12+AJ9+AD9</f>
        <v>68377.94</v>
      </c>
      <c r="AO8" s="202"/>
      <c r="AP8" s="202"/>
      <c r="AQ8" s="151">
        <f>AM8+AN8+AO8-AP8</f>
        <v>447633.34</v>
      </c>
      <c r="AR8" s="203">
        <v>447633.34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111145.46</v>
      </c>
      <c r="D9" s="44">
        <f t="shared" ref="D9:F9" si="1">D6+D7+D8</f>
        <v>7278.39</v>
      </c>
      <c r="E9" s="45">
        <f>'4.6'!K9</f>
        <v>6298.0200000000405</v>
      </c>
      <c r="F9" s="32">
        <f t="shared" si="1"/>
        <v>53409.07</v>
      </c>
      <c r="G9" s="32">
        <f>G6</f>
        <v>135.01</v>
      </c>
      <c r="H9" s="32">
        <f>H6</f>
        <v>7.4</v>
      </c>
      <c r="I9" s="32">
        <f>I6</f>
        <v>53804.78</v>
      </c>
      <c r="J9" s="32">
        <f>J6</f>
        <v>2945.32</v>
      </c>
      <c r="K9" s="65">
        <f>E9+F9-G9-H9-I9-J9</f>
        <v>2814.5800000000399</v>
      </c>
      <c r="L9" s="66">
        <f>'4.6'!P9</f>
        <v>42484.230000000098</v>
      </c>
      <c r="M9" s="32">
        <f>M6+M7+M8</f>
        <v>10813.45</v>
      </c>
      <c r="N9" s="32">
        <f>N6</f>
        <v>7927.32</v>
      </c>
      <c r="O9" s="32">
        <f>O6</f>
        <v>0</v>
      </c>
      <c r="P9" s="65">
        <f>L9+N9-O9+L11-L13</f>
        <v>49861.550000000097</v>
      </c>
      <c r="Q9" s="34">
        <f>'4.6'!U9</f>
        <v>1047.5</v>
      </c>
      <c r="R9" s="32">
        <f>R6</f>
        <v>2886.13</v>
      </c>
      <c r="S9" s="32">
        <f>S6</f>
        <v>3667.58</v>
      </c>
      <c r="T9" s="32">
        <f>T6</f>
        <v>14.09</v>
      </c>
      <c r="U9" s="65">
        <f>Q9+R9-S9-T9</f>
        <v>251.96</v>
      </c>
      <c r="V9" s="66">
        <f>'4.6'!Z9</f>
        <v>727818.79</v>
      </c>
      <c r="W9" s="32">
        <f>W7</f>
        <v>30578</v>
      </c>
      <c r="X9" s="32">
        <f>X6+X8</f>
        <v>23575.79</v>
      </c>
      <c r="Y9" s="32">
        <f>Y6</f>
        <v>0</v>
      </c>
      <c r="Z9" s="102">
        <f>V9+W9-X9-Y9-AA9</f>
        <v>734821</v>
      </c>
      <c r="AA9" s="103">
        <f>AA6+AA8</f>
        <v>0</v>
      </c>
      <c r="AB9" s="104">
        <f>'4.6'!AF9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'4.6'!AK9</f>
        <v>0</v>
      </c>
      <c r="AH9" s="199">
        <v>689</v>
      </c>
      <c r="AI9" s="199">
        <v>43.41</v>
      </c>
      <c r="AJ9" s="199">
        <v>645.59</v>
      </c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637892.21</v>
      </c>
      <c r="AN10" s="130">
        <f t="shared" si="2"/>
        <v>6612.9</v>
      </c>
      <c r="AO10" s="43">
        <f t="shared" si="2"/>
        <v>0</v>
      </c>
      <c r="AP10" s="43">
        <f t="shared" si="2"/>
        <v>0</v>
      </c>
      <c r="AQ10" s="53">
        <f t="shared" si="2"/>
        <v>644505.11</v>
      </c>
      <c r="AR10" s="154">
        <f t="shared" si="2"/>
        <v>644505.11</v>
      </c>
      <c r="AS10" s="155">
        <f>ROUND(AR10-AQ10,2)</f>
        <v>0</v>
      </c>
    </row>
    <row r="11" spans="1:45" ht="18" customHeight="1">
      <c r="A11" s="266">
        <v>80402.83</v>
      </c>
      <c r="B11" s="266"/>
      <c r="C11" s="165"/>
      <c r="D11" s="297"/>
      <c r="E11" s="264"/>
      <c r="F11" s="358"/>
      <c r="G11" s="49" t="s">
        <v>76</v>
      </c>
      <c r="H11" s="166">
        <v>2945.32</v>
      </c>
      <c r="I11" s="172"/>
      <c r="J11" s="173"/>
      <c r="K11" s="72">
        <f>ROUND(K6+K7+K8-K9,2)</f>
        <v>0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>
        <v>2886.13</v>
      </c>
      <c r="T11" s="183"/>
      <c r="U11" s="184"/>
      <c r="V11" s="350"/>
      <c r="W11" s="351"/>
      <c r="X11" s="294"/>
      <c r="Y11" s="294"/>
      <c r="Z11" s="330"/>
      <c r="AA11" s="175">
        <v>734821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>
        <v>7.4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3667.58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'4.6'!AK12</f>
        <v>1488.22</v>
      </c>
      <c r="AH12" s="194">
        <v>15379.76</v>
      </c>
      <c r="AI12" s="132">
        <f>AG12+AH12-AJ12-AK12</f>
        <v>2423.81</v>
      </c>
      <c r="AJ12" s="194">
        <v>13927.57</v>
      </c>
      <c r="AK12" s="207">
        <v>516.6</v>
      </c>
      <c r="AL12" s="340"/>
      <c r="AM12" s="134">
        <f>'4.6'!AQ12</f>
        <v>542550.65</v>
      </c>
      <c r="AN12" s="38">
        <f>H11+P12+R12</f>
        <v>2945.32</v>
      </c>
      <c r="AO12" s="166"/>
      <c r="AP12" s="166"/>
      <c r="AQ12" s="32">
        <f>AM12+AN12+AO12-AP12</f>
        <v>545495.97</v>
      </c>
      <c r="AR12" s="166">
        <v>545495.97</v>
      </c>
      <c r="AS12" s="155">
        <f>ROUND(AR12-AQ12,2)</f>
        <v>0</v>
      </c>
    </row>
    <row r="13" spans="1:45" ht="27" customHeight="1">
      <c r="A13" s="361"/>
      <c r="B13" s="361"/>
      <c r="C13" s="53">
        <f>ROUND(C6-A11,2)</f>
        <v>0.13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550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14.09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193</v>
      </c>
      <c r="M14" s="269"/>
      <c r="N14" s="269"/>
      <c r="O14" s="269"/>
      <c r="P14" s="269"/>
      <c r="Q14" s="91" t="s">
        <v>103</v>
      </c>
      <c r="R14" s="185"/>
      <c r="S14" s="186">
        <v>251.96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689</v>
      </c>
      <c r="AK14" s="138">
        <f>IF(AJ14-AH9&gt;0,AJ14-AH9,IF(AJ14-AH9&lt;=0,0))</f>
        <v>0</v>
      </c>
      <c r="AL14" s="139">
        <f>IF(AH9-AJ14&gt;0,AH9-AJ14,IF(AJ14-AH9&lt;=0,0))</f>
        <v>0</v>
      </c>
      <c r="AM14" s="66">
        <f>'4.6'!AQ14</f>
        <v>95341.56</v>
      </c>
      <c r="AN14" s="38">
        <f>I11+P13+S12</f>
        <v>3667.58</v>
      </c>
      <c r="AO14" s="181"/>
      <c r="AP14" s="181"/>
      <c r="AQ14" s="32">
        <f>AM14+AN14+AO14-AP14</f>
        <v>99009.14</v>
      </c>
      <c r="AR14" s="181">
        <v>99009.14</v>
      </c>
      <c r="AS14" s="155">
        <f>ROUND(AR14-AQ14,2)</f>
        <v>0</v>
      </c>
    </row>
    <row r="15" spans="1:45" ht="18" customHeight="1">
      <c r="A15" s="371" t="s">
        <v>194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'4.6'!AQ16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'4.6'!AQ18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'4.6'!Q19</f>
        <v>24358.57</v>
      </c>
      <c r="D19" s="277"/>
      <c r="E19" s="267"/>
      <c r="F19" s="267"/>
      <c r="G19" s="46" t="s">
        <v>139</v>
      </c>
      <c r="H19" s="58">
        <f>'4.6'!K19</f>
        <v>158630.09</v>
      </c>
      <c r="I19" s="76"/>
      <c r="J19" s="49"/>
      <c r="K19" s="49">
        <v>160309.85</v>
      </c>
      <c r="L19" s="178"/>
      <c r="M19" s="277">
        <f>IF(I19=J19=0,K19-H19-L19,IF(I19&gt;J19&gt;0,I19-H19+K19-J19-L19))</f>
        <v>1679.76000000001</v>
      </c>
      <c r="N19" s="277"/>
      <c r="O19" s="362">
        <f>M19+M20+M21+M22</f>
        <v>7761.3999999999896</v>
      </c>
      <c r="P19" s="363"/>
      <c r="Q19" s="362">
        <f>C19+E19-O19</f>
        <v>16597.169999999998</v>
      </c>
      <c r="R19" s="363"/>
      <c r="S19" s="366">
        <v>15260.8</v>
      </c>
      <c r="T19" s="357"/>
      <c r="U19" s="323">
        <f>S19-Q19</f>
        <v>-1336.3700000000099</v>
      </c>
      <c r="V19" s="323">
        <f>U19-'4.6'!U19:U22</f>
        <v>-313.79999999999598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'4.6'!Q20</f>
        <v>0</v>
      </c>
      <c r="D20" s="277"/>
      <c r="E20" s="267"/>
      <c r="F20" s="267"/>
      <c r="G20" s="46" t="s">
        <v>147</v>
      </c>
      <c r="H20" s="58">
        <f>'4.6'!K20</f>
        <v>237253.07</v>
      </c>
      <c r="I20" s="76"/>
      <c r="J20" s="49"/>
      <c r="K20" s="49">
        <v>239996.04</v>
      </c>
      <c r="L20" s="178"/>
      <c r="M20" s="277">
        <f t="shared" ref="M20:M26" si="3">IF(I20=J20=0,K20-H20-L20,IF(I20&gt;J20&gt;0,I20-H20+K20-J20-L20))</f>
        <v>2742.97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'4.6'!AQ20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'4.6'!Q21</f>
        <v>0</v>
      </c>
      <c r="D21" s="277"/>
      <c r="E21" s="267"/>
      <c r="F21" s="267"/>
      <c r="G21" s="46" t="s">
        <v>148</v>
      </c>
      <c r="H21" s="58">
        <f>'4.6'!K21</f>
        <v>148628.99</v>
      </c>
      <c r="I21" s="76"/>
      <c r="J21" s="49"/>
      <c r="K21" s="49">
        <v>150085.07999999999</v>
      </c>
      <c r="L21" s="178"/>
      <c r="M21" s="277">
        <f t="shared" si="3"/>
        <v>1456.09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'4.6'!Q22</f>
        <v>0</v>
      </c>
      <c r="D22" s="277"/>
      <c r="E22" s="267"/>
      <c r="F22" s="267"/>
      <c r="G22" s="46" t="s">
        <v>156</v>
      </c>
      <c r="H22" s="58">
        <f>'4.6'!K22</f>
        <v>181345.95</v>
      </c>
      <c r="I22" s="76"/>
      <c r="J22" s="49"/>
      <c r="K22" s="49">
        <v>183228.53</v>
      </c>
      <c r="L22" s="178"/>
      <c r="M22" s="277">
        <f t="shared" si="3"/>
        <v>1882.5799999999899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'4.6'!AQ22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'4.6'!Q23</f>
        <v>3240.6799999999898</v>
      </c>
      <c r="D23" s="277"/>
      <c r="E23" s="267"/>
      <c r="F23" s="267"/>
      <c r="G23" s="46" t="s">
        <v>157</v>
      </c>
      <c r="H23" s="58">
        <f>'4.6'!K23</f>
        <v>62675.29</v>
      </c>
      <c r="I23" s="76"/>
      <c r="J23" s="49"/>
      <c r="K23" s="49">
        <v>63009.58</v>
      </c>
      <c r="L23" s="178"/>
      <c r="M23" s="277">
        <f t="shared" si="3"/>
        <v>334.29000000000099</v>
      </c>
      <c r="N23" s="277"/>
      <c r="O23" s="277">
        <f>M23+M24+M25</f>
        <v>2343.4699999999898</v>
      </c>
      <c r="P23" s="277"/>
      <c r="Q23" s="277">
        <f>C23+E23-O23</f>
        <v>897.20999999999594</v>
      </c>
      <c r="R23" s="277"/>
      <c r="S23" s="267">
        <v>3838.2</v>
      </c>
      <c r="T23" s="267"/>
      <c r="U23" s="277">
        <f>S23-Q23</f>
        <v>2940.99</v>
      </c>
      <c r="V23" s="277">
        <f>U23-'4.6'!U23:U25</f>
        <v>95.669999999993706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'4.6'!Q24</f>
        <v>0</v>
      </c>
      <c r="D24" s="277"/>
      <c r="E24" s="267"/>
      <c r="F24" s="267"/>
      <c r="G24" s="46" t="s">
        <v>137</v>
      </c>
      <c r="H24" s="58">
        <f>'4.6'!K24</f>
        <v>146325.84</v>
      </c>
      <c r="I24" s="76"/>
      <c r="J24" s="49"/>
      <c r="K24" s="49">
        <v>147457.84</v>
      </c>
      <c r="L24" s="178"/>
      <c r="M24" s="277">
        <f t="shared" si="3"/>
        <v>1132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'4.6'!AQ24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'4.6'!Q25</f>
        <v>0</v>
      </c>
      <c r="D25" s="277"/>
      <c r="E25" s="267"/>
      <c r="F25" s="267"/>
      <c r="G25" s="46" t="s">
        <v>166</v>
      </c>
      <c r="H25" s="58">
        <f>'4.6'!K25</f>
        <v>116435.32</v>
      </c>
      <c r="I25" s="76"/>
      <c r="J25" s="49"/>
      <c r="K25" s="49">
        <v>117312.5</v>
      </c>
      <c r="L25" s="178"/>
      <c r="M25" s="277">
        <f t="shared" si="3"/>
        <v>877.17999999999302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'4.6'!Q26</f>
        <v>6234.73</v>
      </c>
      <c r="D26" s="277"/>
      <c r="E26" s="278"/>
      <c r="F26" s="279"/>
      <c r="G26" s="28" t="s">
        <v>175</v>
      </c>
      <c r="H26" s="58">
        <f>'4.6'!K26</f>
        <v>14969.79</v>
      </c>
      <c r="I26" s="76"/>
      <c r="J26" s="49"/>
      <c r="K26" s="49">
        <v>15683.23</v>
      </c>
      <c r="L26" s="178"/>
      <c r="M26" s="277">
        <f t="shared" si="3"/>
        <v>713.43999999999903</v>
      </c>
      <c r="N26" s="277"/>
      <c r="O26" s="277">
        <f>M26</f>
        <v>713.43999999999903</v>
      </c>
      <c r="P26" s="277"/>
      <c r="Q26" s="277">
        <f>C26+E26-O26</f>
        <v>5521.29</v>
      </c>
      <c r="R26" s="277"/>
      <c r="S26" s="267">
        <v>4552.3999999999996</v>
      </c>
      <c r="T26" s="267"/>
      <c r="U26" s="53">
        <f>S26-Q26</f>
        <v>-968.89000000000101</v>
      </c>
      <c r="V26" s="53">
        <f>U26-'4.6'!U26</f>
        <v>-134.66000000000099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'4.6'!AQ26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5">
      <c r="C28" s="210"/>
      <c r="L28" s="27" t="s">
        <v>176</v>
      </c>
      <c r="M28" s="27" t="s">
        <v>176</v>
      </c>
      <c r="N28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87" priority="1" operator="notEqual">
      <formula>0</formula>
    </cfRule>
  </conditionalFormatting>
  <conditionalFormatting sqref="W14">
    <cfRule type="cellIs" dxfId="86" priority="3" operator="notEqual">
      <formula>0</formula>
    </cfRule>
  </conditionalFormatting>
  <conditionalFormatting sqref="Y35">
    <cfRule type="cellIs" dxfId="85" priority="2" operator="notEqual">
      <formula>0</formula>
    </cfRule>
  </conditionalFormatting>
  <conditionalFormatting sqref="AS14 AS16 AS18 AS20 AS22 AS24 AS26 AS12 K11 AS6 AS8 AS10 AA13">
    <cfRule type="cellIs" dxfId="84" priority="4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8"/>
  <sheetViews>
    <sheetView tabSelected="1" workbookViewId="0">
      <selection activeCell="H30" sqref="H30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44" width="9.625" style="27"/>
    <col min="45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'4.7'!AO1:AS2+1</f>
        <v>45755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68237.440000000002</v>
      </c>
      <c r="D6" s="158">
        <v>6208.65</v>
      </c>
      <c r="E6" s="34">
        <f>'4.7'!K6</f>
        <v>1740.58</v>
      </c>
      <c r="F6" s="159">
        <v>25571.13</v>
      </c>
      <c r="G6" s="303">
        <v>104.64</v>
      </c>
      <c r="H6" s="306">
        <f>H12+I12+J12</f>
        <v>11.32</v>
      </c>
      <c r="I6" s="303">
        <v>41737.449999999997</v>
      </c>
      <c r="J6" s="306">
        <f>H11+I11+J11</f>
        <v>4518.0200000000004</v>
      </c>
      <c r="K6" s="158">
        <v>2268.2800000000002</v>
      </c>
      <c r="L6" s="312"/>
      <c r="M6" s="164">
        <v>3129.1</v>
      </c>
      <c r="N6" s="306">
        <f>M9-R6</f>
        <v>1749.32</v>
      </c>
      <c r="O6" s="313">
        <f>P11+P12+P13</f>
        <v>0</v>
      </c>
      <c r="P6" s="315"/>
      <c r="Q6" s="316"/>
      <c r="R6" s="306">
        <f>R11+S11+T11+U11</f>
        <v>2899.28</v>
      </c>
      <c r="S6" s="306">
        <f>R12+S12+T12+U12</f>
        <v>3122.8</v>
      </c>
      <c r="T6" s="306">
        <f>R13+S13+T13+U13</f>
        <v>9.44</v>
      </c>
      <c r="U6" s="320"/>
      <c r="V6" s="312"/>
      <c r="W6" s="77"/>
      <c r="X6" s="179">
        <v>24489.08</v>
      </c>
      <c r="Y6" s="303"/>
      <c r="Z6" s="327"/>
      <c r="AA6" s="189"/>
      <c r="AB6" s="331"/>
      <c r="AC6" s="190"/>
      <c r="AD6" s="303"/>
      <c r="AE6" s="303"/>
      <c r="AF6" s="334"/>
      <c r="AG6" s="113">
        <f>'4.7'!AK6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1092138.45</v>
      </c>
      <c r="AN6" s="119">
        <f>AN8+AN10</f>
        <v>57323.96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1149462.4099999999</v>
      </c>
      <c r="AS6" s="148">
        <f>ROUND(AR6-AQ6,2)</f>
        <v>0</v>
      </c>
    </row>
    <row r="7" spans="1:45" ht="18" customHeight="1">
      <c r="A7" s="256" t="s">
        <v>40</v>
      </c>
      <c r="B7" s="257"/>
      <c r="C7" s="38">
        <f>D7+F7+M7+AL7+AC7</f>
        <v>22151</v>
      </c>
      <c r="D7" s="160"/>
      <c r="E7" s="34">
        <f>'4.7'!K7</f>
        <v>1064</v>
      </c>
      <c r="F7" s="161">
        <v>20933</v>
      </c>
      <c r="G7" s="304"/>
      <c r="H7" s="307"/>
      <c r="I7" s="304"/>
      <c r="J7" s="307"/>
      <c r="K7" s="168">
        <v>679</v>
      </c>
      <c r="L7" s="312"/>
      <c r="M7" s="169">
        <v>1218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22151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301.5</v>
      </c>
      <c r="D8" s="162"/>
      <c r="E8" s="34">
        <f>'4.7'!K8</f>
        <v>10</v>
      </c>
      <c r="F8" s="163"/>
      <c r="G8" s="305"/>
      <c r="H8" s="308"/>
      <c r="I8" s="305"/>
      <c r="J8" s="308"/>
      <c r="K8" s="162"/>
      <c r="L8" s="312"/>
      <c r="M8" s="170">
        <v>301.5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'4.7'!AQ8</f>
        <v>447633.34</v>
      </c>
      <c r="AN8" s="122">
        <f>I6+AJ6+AL9+P11+AJ12+AJ9+AD9</f>
        <v>49683.14</v>
      </c>
      <c r="AO8" s="202"/>
      <c r="AP8" s="202"/>
      <c r="AQ8" s="151">
        <f>AM8+AN8+AO8-AP8</f>
        <v>497316.48</v>
      </c>
      <c r="AR8" s="203">
        <v>497316.48</v>
      </c>
      <c r="AS8" s="148">
        <f>ROUND(AR8-AQ8,2)</f>
        <v>0</v>
      </c>
    </row>
    <row r="9" spans="1:45" ht="18" customHeight="1">
      <c r="A9" s="250" t="s">
        <v>50</v>
      </c>
      <c r="B9" s="262"/>
      <c r="C9" s="32">
        <f>C6+C7+C8</f>
        <v>90689.94</v>
      </c>
      <c r="D9" s="44">
        <f t="shared" ref="D9:F9" si="1">D6+D7+D8</f>
        <v>6208.65</v>
      </c>
      <c r="E9" s="45">
        <f>'4.7'!K9</f>
        <v>2814.5800000000399</v>
      </c>
      <c r="F9" s="32">
        <f t="shared" si="1"/>
        <v>46504.13</v>
      </c>
      <c r="G9" s="32">
        <f>G6</f>
        <v>104.64</v>
      </c>
      <c r="H9" s="32">
        <f>H6</f>
        <v>11.32</v>
      </c>
      <c r="I9" s="32">
        <f>I6</f>
        <v>41737.449999999997</v>
      </c>
      <c r="J9" s="32">
        <f>J6</f>
        <v>4518.0200000000004</v>
      </c>
      <c r="K9" s="65">
        <f>E9+F9-G9-H9-I9-J9</f>
        <v>2947.2800000000502</v>
      </c>
      <c r="L9" s="66">
        <f>'4.7'!P9</f>
        <v>49861.550000000097</v>
      </c>
      <c r="M9" s="32">
        <f>M6+M7+M8</f>
        <v>4648.6000000000004</v>
      </c>
      <c r="N9" s="32">
        <f>N6</f>
        <v>1749.32</v>
      </c>
      <c r="O9" s="32">
        <f>O6</f>
        <v>0</v>
      </c>
      <c r="P9" s="65">
        <f>L9+N9-O9+L11-L13</f>
        <v>51567.370000000097</v>
      </c>
      <c r="Q9" s="34">
        <f>'4.7'!U9</f>
        <v>251.96</v>
      </c>
      <c r="R9" s="32">
        <f>R6</f>
        <v>2899.28</v>
      </c>
      <c r="S9" s="32">
        <f>S6</f>
        <v>3122.8</v>
      </c>
      <c r="T9" s="32">
        <f>T6</f>
        <v>9.44</v>
      </c>
      <c r="U9" s="65">
        <f>Q9+R9-S9-T9</f>
        <v>19.000000000000099</v>
      </c>
      <c r="V9" s="66">
        <f>'4.7'!Z9</f>
        <v>734821</v>
      </c>
      <c r="W9" s="32">
        <f>W7</f>
        <v>22151</v>
      </c>
      <c r="X9" s="32">
        <f>X6+X8</f>
        <v>24489.08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'4.7'!AF9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'4.7'!AK9</f>
        <v>0</v>
      </c>
      <c r="AH9" s="199">
        <v>856.08</v>
      </c>
      <c r="AI9" s="199">
        <v>53.93</v>
      </c>
      <c r="AJ9" s="199">
        <v>802.07</v>
      </c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644505.11</v>
      </c>
      <c r="AN10" s="130">
        <f t="shared" si="2"/>
        <v>7640.82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652145.93000000005</v>
      </c>
      <c r="AS10" s="155">
        <f>ROUND(AR10-AQ10,2)</f>
        <v>0</v>
      </c>
    </row>
    <row r="11" spans="1:45" ht="18" customHeight="1">
      <c r="A11" s="266">
        <v>68237.440000000002</v>
      </c>
      <c r="B11" s="266"/>
      <c r="C11" s="165"/>
      <c r="D11" s="297"/>
      <c r="E11" s="264"/>
      <c r="F11" s="358"/>
      <c r="G11" s="49" t="s">
        <v>76</v>
      </c>
      <c r="H11" s="166">
        <v>4518.0200000000004</v>
      </c>
      <c r="I11" s="172"/>
      <c r="J11" s="173"/>
      <c r="K11" s="72">
        <f>ROUND(K6+K7+K8-K9,2)</f>
        <v>0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>
        <v>2899.28</v>
      </c>
      <c r="T11" s="183"/>
      <c r="U11" s="184"/>
      <c r="V11" s="350"/>
      <c r="W11" s="351"/>
      <c r="X11" s="294"/>
      <c r="Y11" s="294"/>
      <c r="Z11" s="330"/>
      <c r="AA11" s="175">
        <v>732482.92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>
        <v>11.32</v>
      </c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>
        <v>3122.8</v>
      </c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'4.7'!AK12</f>
        <v>516.6</v>
      </c>
      <c r="AH12" s="194">
        <v>7983.4</v>
      </c>
      <c r="AI12" s="132">
        <f>AG12+AH12-AJ12-AK12</f>
        <v>1122.98</v>
      </c>
      <c r="AJ12" s="194">
        <v>7143.62</v>
      </c>
      <c r="AK12" s="207">
        <v>233.4</v>
      </c>
      <c r="AL12" s="340"/>
      <c r="AM12" s="134">
        <f>'4.7'!AQ12</f>
        <v>545495.97</v>
      </c>
      <c r="AN12" s="38">
        <f>H11+P12+R12</f>
        <v>4518.0200000000004</v>
      </c>
      <c r="AO12" s="166"/>
      <c r="AP12" s="166"/>
      <c r="AQ12" s="32">
        <f>AM12+AN12+AO12-AP12</f>
        <v>550013.99</v>
      </c>
      <c r="AR12" s="166">
        <v>550013.99</v>
      </c>
      <c r="AS12" s="155">
        <f>ROUND(AR12-AQ12,2)</f>
        <v>0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>
        <v>43.5</v>
      </c>
      <c r="M13" s="267"/>
      <c r="N13" s="267"/>
      <c r="O13" s="49" t="s">
        <v>62</v>
      </c>
      <c r="P13" s="177"/>
      <c r="Q13" s="90" t="s">
        <v>21</v>
      </c>
      <c r="R13" s="181"/>
      <c r="S13" s="182">
        <v>9.44</v>
      </c>
      <c r="T13" s="183"/>
      <c r="U13" s="184"/>
      <c r="V13" s="271"/>
      <c r="W13" s="379"/>
      <c r="X13" s="294"/>
      <c r="Y13" s="294"/>
      <c r="Z13" s="302"/>
      <c r="AA13" s="108">
        <f>ROUND(Z9-AA11,2)</f>
        <v>0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 t="s">
        <v>195</v>
      </c>
      <c r="M14" s="269"/>
      <c r="N14" s="269"/>
      <c r="O14" s="269"/>
      <c r="P14" s="269"/>
      <c r="Q14" s="91" t="s">
        <v>103</v>
      </c>
      <c r="R14" s="185"/>
      <c r="S14" s="186">
        <v>19</v>
      </c>
      <c r="T14" s="187"/>
      <c r="U14" s="188"/>
      <c r="V14" s="93" t="s">
        <v>64</v>
      </c>
      <c r="W14" s="94">
        <f>ROUND(U9-R14-S14-T14-U14,2)</f>
        <v>0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>
        <v>856</v>
      </c>
      <c r="AK14" s="138">
        <f>IF(AJ14-AH9&gt;0,AJ14-AH9,IF(AJ14-AH9&lt;=0,0))</f>
        <v>0</v>
      </c>
      <c r="AL14" s="139">
        <f>IF(AH9-AJ14&gt;0,AH9-AJ14,IF(AJ14-AH9&lt;=0,0))</f>
        <v>8.00000000000409E-2</v>
      </c>
      <c r="AM14" s="66">
        <f>'4.7'!AQ14</f>
        <v>99009.14</v>
      </c>
      <c r="AN14" s="38">
        <f>I11+P13+S12</f>
        <v>3122.8</v>
      </c>
      <c r="AO14" s="181"/>
      <c r="AP14" s="181"/>
      <c r="AQ14" s="32">
        <f>AM14+AN14+AO14-AP14</f>
        <v>102131.94</v>
      </c>
      <c r="AR14" s="181">
        <v>102131.94</v>
      </c>
      <c r="AS14" s="155">
        <f>ROUND(AR14-AQ14,2)</f>
        <v>0</v>
      </c>
    </row>
    <row r="15" spans="1:45" ht="18" customHeight="1">
      <c r="A15" s="371" t="s">
        <v>196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'4.7'!AQ16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'4.7'!AQ18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'4.7'!Q19</f>
        <v>16597.169999999998</v>
      </c>
      <c r="D19" s="277"/>
      <c r="E19" s="267">
        <v>28844</v>
      </c>
      <c r="F19" s="267"/>
      <c r="G19" s="46" t="s">
        <v>139</v>
      </c>
      <c r="H19" s="58">
        <f>'4.7'!K19</f>
        <v>160309.85</v>
      </c>
      <c r="I19" s="76"/>
      <c r="J19" s="49"/>
      <c r="K19" s="49">
        <v>161763.53</v>
      </c>
      <c r="L19" s="178"/>
      <c r="M19" s="277">
        <f>IF(I19=J19=0,K19-H19-L19,IF(I19&gt;J19&gt;0,I19-H19+K19-J19-L19))</f>
        <v>1453.6799999999901</v>
      </c>
      <c r="N19" s="277"/>
      <c r="O19" s="362">
        <f>M19+M20+M21+M22</f>
        <v>6296.8199999999797</v>
      </c>
      <c r="P19" s="363"/>
      <c r="Q19" s="362">
        <f>C19+E19-O19</f>
        <v>39144.35</v>
      </c>
      <c r="R19" s="363"/>
      <c r="S19" s="366">
        <v>34363</v>
      </c>
      <c r="T19" s="357"/>
      <c r="U19" s="323">
        <f>S19-Q19</f>
        <v>-4781.3500000000304</v>
      </c>
      <c r="V19" s="323">
        <f>U19-'4.7'!U19:U22</f>
        <v>-3444.98000000002</v>
      </c>
      <c r="W19" s="325">
        <v>7.38</v>
      </c>
      <c r="X19" s="430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2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'4.7'!Q20</f>
        <v>0</v>
      </c>
      <c r="D20" s="277"/>
      <c r="E20" s="267"/>
      <c r="F20" s="267"/>
      <c r="G20" s="46" t="s">
        <v>147</v>
      </c>
      <c r="H20" s="58">
        <f>'4.7'!K20</f>
        <v>239996.04</v>
      </c>
      <c r="I20" s="76"/>
      <c r="J20" s="49"/>
      <c r="K20" s="49">
        <v>242165.11</v>
      </c>
      <c r="L20" s="178"/>
      <c r="M20" s="277">
        <f t="shared" ref="M20:M26" si="3">IF(I20=J20=0,K20-H20-L20,IF(I20&gt;J20&gt;0,I20-H20+K20-J20-L20))</f>
        <v>2169.0699999999802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433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5"/>
      <c r="AM20" s="142">
        <f>'4.7'!AQ20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'4.7'!Q21</f>
        <v>0</v>
      </c>
      <c r="D21" s="277"/>
      <c r="E21" s="267"/>
      <c r="F21" s="267"/>
      <c r="G21" s="46" t="s">
        <v>148</v>
      </c>
      <c r="H21" s="58">
        <f>'4.7'!K21</f>
        <v>150085.07999999999</v>
      </c>
      <c r="I21" s="76"/>
      <c r="J21" s="49"/>
      <c r="K21" s="49">
        <v>151258.63</v>
      </c>
      <c r="L21" s="178"/>
      <c r="M21" s="277">
        <f t="shared" si="3"/>
        <v>1173.55000000002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433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5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'4.7'!Q22</f>
        <v>0</v>
      </c>
      <c r="D22" s="277"/>
      <c r="E22" s="267"/>
      <c r="F22" s="267"/>
      <c r="G22" s="46" t="s">
        <v>156</v>
      </c>
      <c r="H22" s="58">
        <f>'4.7'!K22</f>
        <v>183228.53</v>
      </c>
      <c r="I22" s="76"/>
      <c r="J22" s="49"/>
      <c r="K22" s="49">
        <v>184729.05</v>
      </c>
      <c r="L22" s="178"/>
      <c r="M22" s="277">
        <f t="shared" si="3"/>
        <v>1500.51999999999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36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8"/>
      <c r="AM22" s="145">
        <f>'4.7'!AQ22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'4.7'!Q23</f>
        <v>897.20999999999594</v>
      </c>
      <c r="D23" s="277"/>
      <c r="E23" s="267">
        <v>16889</v>
      </c>
      <c r="F23" s="267"/>
      <c r="G23" s="46" t="s">
        <v>157</v>
      </c>
      <c r="H23" s="58">
        <f>'4.7'!K23</f>
        <v>63009.58</v>
      </c>
      <c r="I23" s="76"/>
      <c r="J23" s="49"/>
      <c r="K23" s="49">
        <v>63240.38</v>
      </c>
      <c r="L23" s="178"/>
      <c r="M23" s="277">
        <f t="shared" si="3"/>
        <v>230.799999999996</v>
      </c>
      <c r="N23" s="277"/>
      <c r="O23" s="277">
        <f>M23+M24+M25</f>
        <v>2358.54</v>
      </c>
      <c r="P23" s="277"/>
      <c r="Q23" s="277">
        <f>C23+E23-O23</f>
        <v>15427.67</v>
      </c>
      <c r="R23" s="277"/>
      <c r="S23" s="267">
        <v>18535</v>
      </c>
      <c r="T23" s="267"/>
      <c r="U23" s="277">
        <f>S23-Q23</f>
        <v>3107.3300000000099</v>
      </c>
      <c r="V23" s="277">
        <f>U23-'4.7'!U23:U25</f>
        <v>166.34000000000199</v>
      </c>
      <c r="W23" s="267">
        <v>7.78</v>
      </c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'4.7'!Q24</f>
        <v>0</v>
      </c>
      <c r="D24" s="277"/>
      <c r="E24" s="267"/>
      <c r="F24" s="267"/>
      <c r="G24" s="46" t="s">
        <v>137</v>
      </c>
      <c r="H24" s="58">
        <f>'4.7'!K24</f>
        <v>147457.84</v>
      </c>
      <c r="I24" s="76"/>
      <c r="J24" s="49"/>
      <c r="K24" s="49">
        <v>148852.53</v>
      </c>
      <c r="L24" s="178"/>
      <c r="M24" s="277">
        <f t="shared" si="3"/>
        <v>1394.69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'4.7'!AQ24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'4.7'!Q25</f>
        <v>0</v>
      </c>
      <c r="D25" s="277"/>
      <c r="E25" s="267"/>
      <c r="F25" s="267"/>
      <c r="G25" s="46" t="s">
        <v>166</v>
      </c>
      <c r="H25" s="58">
        <f>'4.7'!K25</f>
        <v>117312.5</v>
      </c>
      <c r="I25" s="76"/>
      <c r="J25" s="49"/>
      <c r="K25" s="49">
        <v>118045.55</v>
      </c>
      <c r="L25" s="178"/>
      <c r="M25" s="277">
        <f t="shared" si="3"/>
        <v>733.05000000000302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'4.7'!Q26</f>
        <v>5521.29</v>
      </c>
      <c r="D26" s="277"/>
      <c r="E26" s="278"/>
      <c r="F26" s="279"/>
      <c r="G26" s="28" t="s">
        <v>175</v>
      </c>
      <c r="H26" s="58">
        <f>'4.7'!K26</f>
        <v>15683.23</v>
      </c>
      <c r="I26" s="76"/>
      <c r="J26" s="49"/>
      <c r="K26" s="49">
        <v>16182.19</v>
      </c>
      <c r="L26" s="178"/>
      <c r="M26" s="277">
        <f t="shared" si="3"/>
        <v>498.960000000001</v>
      </c>
      <c r="N26" s="277"/>
      <c r="O26" s="277">
        <f>M26</f>
        <v>498.960000000001</v>
      </c>
      <c r="P26" s="277"/>
      <c r="Q26" s="277">
        <f>C26+E26-O26</f>
        <v>5022.33</v>
      </c>
      <c r="R26" s="277"/>
      <c r="S26" s="267">
        <v>4543.7</v>
      </c>
      <c r="T26" s="267"/>
      <c r="U26" s="53">
        <f>S26-Q26</f>
        <v>-478.63</v>
      </c>
      <c r="V26" s="53">
        <f>U26-'4.7'!U26</f>
        <v>490.26000000000101</v>
      </c>
      <c r="W26" s="178">
        <v>6.87</v>
      </c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'4.7'!AQ26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5">
      <c r="J28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83" priority="1" operator="notEqual">
      <formula>0</formula>
    </cfRule>
  </conditionalFormatting>
  <conditionalFormatting sqref="W14">
    <cfRule type="cellIs" dxfId="82" priority="3" operator="notEqual">
      <formula>0</formula>
    </cfRule>
  </conditionalFormatting>
  <conditionalFormatting sqref="Y35">
    <cfRule type="cellIs" dxfId="81" priority="2" operator="notEqual">
      <formula>0</formula>
    </cfRule>
  </conditionalFormatting>
  <conditionalFormatting sqref="AS14 AS16 AS18 AS20 AS22 AS24 AS26 AS12 K11 AS6 AS8 AS10 AA13">
    <cfRule type="cellIs" dxfId="80" priority="4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8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'4.8'!AO1:AS2+1</f>
        <v>45756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'4.8'!K6</f>
        <v>2268.2800000000002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'4.8'!AK6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'4.8'!K7</f>
        <v>679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'4.8'!K8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'4.8'!AQ8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'4.8'!K9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'4.8'!P9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'4.8'!U9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'4.8'!Z9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'4.8'!AF9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'4.8'!AK9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'4.8'!AK12</f>
        <v>233.4</v>
      </c>
      <c r="AH12" s="194"/>
      <c r="AI12" s="132">
        <f>AG12+AH12-AJ12-AK12</f>
        <v>233.4</v>
      </c>
      <c r="AJ12" s="194"/>
      <c r="AK12" s="207"/>
      <c r="AL12" s="340"/>
      <c r="AM12" s="134">
        <f>'4.8'!AQ12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'4.8'!AQ14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'4.8'!AQ16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'4.8'!AQ18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'4.8'!Q19</f>
        <v>39144.35</v>
      </c>
      <c r="D19" s="277"/>
      <c r="E19" s="267"/>
      <c r="F19" s="267"/>
      <c r="G19" s="46" t="s">
        <v>139</v>
      </c>
      <c r="H19" s="58">
        <f>'4.8'!K19</f>
        <v>161763.53</v>
      </c>
      <c r="I19" s="76"/>
      <c r="J19" s="49"/>
      <c r="K19" s="49"/>
      <c r="L19" s="178"/>
      <c r="M19" s="277">
        <f>IF(I19=J19=0,K19-H19-L19,IF(I19&gt;J19&gt;0,I19-H19+K19-J19-L19))</f>
        <v>-161763.53</v>
      </c>
      <c r="N19" s="277"/>
      <c r="O19" s="362">
        <f>M19+M20+M21+M22</f>
        <v>-739916.32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U19-'4.8'!U19:U22</f>
        <v>-774279.32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'4.8'!Q20</f>
        <v>0</v>
      </c>
      <c r="D20" s="277"/>
      <c r="E20" s="267"/>
      <c r="F20" s="267"/>
      <c r="G20" s="46" t="s">
        <v>147</v>
      </c>
      <c r="H20" s="58">
        <f>'4.8'!K20</f>
        <v>242165.11</v>
      </c>
      <c r="I20" s="76"/>
      <c r="J20" s="49"/>
      <c r="K20" s="49"/>
      <c r="L20" s="178"/>
      <c r="M20" s="277">
        <f t="shared" ref="M20:M26" si="3">IF(I20=J20=0,K20-H20-L20,IF(I20&gt;J20&gt;0,I20-H20+K20-J20-L20))</f>
        <v>-242165.11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'4.8'!AQ20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'4.8'!Q21</f>
        <v>0</v>
      </c>
      <c r="D21" s="277"/>
      <c r="E21" s="267"/>
      <c r="F21" s="267"/>
      <c r="G21" s="46" t="s">
        <v>148</v>
      </c>
      <c r="H21" s="58">
        <f>'4.8'!K21</f>
        <v>151258.63</v>
      </c>
      <c r="I21" s="76"/>
      <c r="J21" s="49"/>
      <c r="K21" s="49"/>
      <c r="L21" s="178"/>
      <c r="M21" s="277">
        <f t="shared" si="3"/>
        <v>-151258.63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'4.8'!Q22</f>
        <v>0</v>
      </c>
      <c r="D22" s="277"/>
      <c r="E22" s="267"/>
      <c r="F22" s="267"/>
      <c r="G22" s="46" t="s">
        <v>156</v>
      </c>
      <c r="H22" s="58">
        <f>'4.8'!K22</f>
        <v>184729.05</v>
      </c>
      <c r="I22" s="76"/>
      <c r="J22" s="49"/>
      <c r="K22" s="49"/>
      <c r="L22" s="178"/>
      <c r="M22" s="277">
        <f t="shared" si="3"/>
        <v>-184729.05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'4.8'!AQ22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'4.8'!Q23</f>
        <v>15427.67</v>
      </c>
      <c r="D23" s="277"/>
      <c r="E23" s="267"/>
      <c r="F23" s="267"/>
      <c r="G23" s="46" t="s">
        <v>157</v>
      </c>
      <c r="H23" s="58">
        <f>'4.8'!K23</f>
        <v>63240.38</v>
      </c>
      <c r="I23" s="76"/>
      <c r="J23" s="49"/>
      <c r="K23" s="49"/>
      <c r="L23" s="178"/>
      <c r="M23" s="277">
        <f t="shared" si="3"/>
        <v>-63240.38</v>
      </c>
      <c r="N23" s="277"/>
      <c r="O23" s="277">
        <f>M23+M24+M25</f>
        <v>-330138.46000000002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U23-'4.8'!U23:U25</f>
        <v>-348673.46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'4.8'!Q24</f>
        <v>0</v>
      </c>
      <c r="D24" s="277"/>
      <c r="E24" s="267"/>
      <c r="F24" s="267"/>
      <c r="G24" s="46" t="s">
        <v>137</v>
      </c>
      <c r="H24" s="58">
        <f>'4.8'!K24</f>
        <v>148852.53</v>
      </c>
      <c r="I24" s="76"/>
      <c r="J24" s="49"/>
      <c r="K24" s="49"/>
      <c r="L24" s="178"/>
      <c r="M24" s="277">
        <f t="shared" si="3"/>
        <v>-148852.53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'4.8'!AQ24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'4.8'!Q25</f>
        <v>0</v>
      </c>
      <c r="D25" s="277"/>
      <c r="E25" s="267"/>
      <c r="F25" s="267"/>
      <c r="G25" s="46" t="s">
        <v>166</v>
      </c>
      <c r="H25" s="58">
        <f>'4.8'!K25</f>
        <v>118045.55</v>
      </c>
      <c r="I25" s="76"/>
      <c r="J25" s="49"/>
      <c r="K25" s="49"/>
      <c r="L25" s="178"/>
      <c r="M25" s="277">
        <f t="shared" si="3"/>
        <v>-118045.55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'4.8'!Q26</f>
        <v>5022.33</v>
      </c>
      <c r="D26" s="277"/>
      <c r="E26" s="278"/>
      <c r="F26" s="279"/>
      <c r="G26" s="28" t="s">
        <v>175</v>
      </c>
      <c r="H26" s="58">
        <f>'4.8'!K26</f>
        <v>16182.19</v>
      </c>
      <c r="I26" s="76"/>
      <c r="J26" s="49"/>
      <c r="K26" s="49"/>
      <c r="L26" s="178"/>
      <c r="M26" s="277">
        <f t="shared" si="3"/>
        <v>-16182.19</v>
      </c>
      <c r="N26" s="277"/>
      <c r="O26" s="277">
        <f>M26</f>
        <v>-16182.19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U26-'4.8'!U26</f>
        <v>-20725.89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'4.8'!AQ26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5">
      <c r="J28" s="27" t="s">
        <v>176</v>
      </c>
      <c r="K28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W14">
    <cfRule type="cellIs" dxfId="79" priority="1" operator="notEqual">
      <formula>0</formula>
    </cfRule>
  </conditionalFormatting>
  <conditionalFormatting sqref="AS14 AS16 AS18 AS20 AS22 AS24 AS26 AS12 K11 AS6 AS8 AS10 AA13">
    <cfRule type="cellIs" dxfId="78" priority="2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8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'4.9'!AO1:AS2+1</f>
        <v>45757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'4.9'!K6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'4.9'!AK6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'4.9'!K7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'4.9'!K8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'4.9'!AQ8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'4.9'!K9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'4.9'!P9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'4.9'!U9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'4.9'!Z9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'4.9'!AF9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'4.9'!AK9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'4.9'!AK12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'4.9'!AQ12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'4.9'!AQ14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'4.9'!AQ16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'4.9'!AQ18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'4.9'!Q19</f>
        <v>779060.67</v>
      </c>
      <c r="D19" s="277"/>
      <c r="E19" s="267"/>
      <c r="F19" s="267"/>
      <c r="G19" s="46" t="s">
        <v>139</v>
      </c>
      <c r="H19" s="58">
        <f>'4.9'!K19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U19-'4.9'!U19:U22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'4.9'!Q20</f>
        <v>0</v>
      </c>
      <c r="D20" s="277"/>
      <c r="E20" s="267"/>
      <c r="F20" s="267"/>
      <c r="G20" s="46" t="s">
        <v>147</v>
      </c>
      <c r="H20" s="58">
        <f>'4.9'!K20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'4.9'!AQ20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'4.9'!Q21</f>
        <v>0</v>
      </c>
      <c r="D21" s="277"/>
      <c r="E21" s="267"/>
      <c r="F21" s="267"/>
      <c r="G21" s="46" t="s">
        <v>148</v>
      </c>
      <c r="H21" s="58">
        <f>'4.9'!K21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'4.9'!Q22</f>
        <v>0</v>
      </c>
      <c r="D22" s="277"/>
      <c r="E22" s="267"/>
      <c r="F22" s="267"/>
      <c r="G22" s="46" t="s">
        <v>156</v>
      </c>
      <c r="H22" s="58">
        <f>'4.9'!K22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'4.9'!AQ22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'4.9'!Q23</f>
        <v>345566.13</v>
      </c>
      <c r="D23" s="277"/>
      <c r="E23" s="267"/>
      <c r="F23" s="267"/>
      <c r="G23" s="46" t="s">
        <v>157</v>
      </c>
      <c r="H23" s="58">
        <f>'4.9'!K23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U23-'4.9'!U23:U25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'4.9'!Q24</f>
        <v>0</v>
      </c>
      <c r="D24" s="277"/>
      <c r="E24" s="267"/>
      <c r="F24" s="267"/>
      <c r="G24" s="46" t="s">
        <v>137</v>
      </c>
      <c r="H24" s="58">
        <f>'4.9'!K24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'4.9'!AQ24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'4.9'!Q25</f>
        <v>0</v>
      </c>
      <c r="D25" s="277"/>
      <c r="E25" s="267"/>
      <c r="F25" s="267"/>
      <c r="G25" s="46" t="s">
        <v>166</v>
      </c>
      <c r="H25" s="58">
        <f>'4.9'!K25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'4.9'!Q26</f>
        <v>21204.52</v>
      </c>
      <c r="D26" s="277"/>
      <c r="E26" s="278"/>
      <c r="F26" s="279"/>
      <c r="G26" s="28" t="s">
        <v>175</v>
      </c>
      <c r="H26" s="58">
        <f>'4.9'!K26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U26-'4.9'!U26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'4.9'!AQ26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45">
      <c r="C28" s="210"/>
      <c r="L28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77" priority="1" operator="notEqual">
      <formula>0</formula>
    </cfRule>
  </conditionalFormatting>
  <conditionalFormatting sqref="W14">
    <cfRule type="cellIs" dxfId="76" priority="2" operator="notEqual">
      <formula>0</formula>
    </cfRule>
  </conditionalFormatting>
  <conditionalFormatting sqref="AS14 AS16 AS18 AS20 AS22 AS24 AS26 AS12 K11 AS6 AS8 AS10 AA13">
    <cfRule type="cellIs" dxfId="75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AS27"/>
  <sheetViews>
    <sheetView workbookViewId="0">
      <selection sqref="A1:AS26"/>
    </sheetView>
  </sheetViews>
  <sheetFormatPr defaultColWidth="9" defaultRowHeight="13.5"/>
  <cols>
    <col min="1" max="1" width="5.125" style="27" customWidth="1"/>
    <col min="2" max="2" width="4.25" style="27" customWidth="1"/>
    <col min="3" max="3" width="10.625" style="27" customWidth="1"/>
    <col min="4" max="4" width="7.125" style="27" customWidth="1"/>
    <col min="5" max="6" width="9" style="27"/>
    <col min="7" max="7" width="7.37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4" width="9" style="27"/>
    <col min="15" max="15" width="9.375" style="27"/>
    <col min="16" max="16" width="9" style="27"/>
    <col min="17" max="17" width="9.375" style="27"/>
    <col min="18" max="20" width="9" style="27"/>
    <col min="21" max="21" width="9.625" style="27" customWidth="1"/>
    <col min="22" max="33" width="9" style="27"/>
    <col min="34" max="34" width="10" style="27" customWidth="1"/>
    <col min="35" max="37" width="9" style="27"/>
    <col min="38" max="38" width="7.875" style="27" customWidth="1"/>
    <col min="39" max="39" width="11.25" style="27" customWidth="1"/>
    <col min="40" max="40" width="11.1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400" t="s">
        <v>198</v>
      </c>
      <c r="AP1" s="400"/>
      <c r="AQ1" s="400"/>
      <c r="AR1" s="400"/>
      <c r="AS1" s="400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401"/>
      <c r="AP2" s="401"/>
      <c r="AQ2" s="401"/>
      <c r="AR2" s="401"/>
      <c r="AS2" s="401"/>
    </row>
    <row r="3" spans="1:45" ht="18" customHeight="1">
      <c r="A3" s="348"/>
      <c r="B3" s="349"/>
      <c r="C3" s="248" t="s">
        <v>199</v>
      </c>
      <c r="D3" s="249" t="s">
        <v>200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201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202</v>
      </c>
      <c r="L4" s="251" t="s">
        <v>201</v>
      </c>
      <c r="M4" s="301" t="s">
        <v>16</v>
      </c>
      <c r="N4" s="301" t="s">
        <v>17</v>
      </c>
      <c r="O4" s="301" t="s">
        <v>18</v>
      </c>
      <c r="P4" s="295" t="s">
        <v>202</v>
      </c>
      <c r="Q4" s="251" t="s">
        <v>201</v>
      </c>
      <c r="R4" s="301" t="s">
        <v>19</v>
      </c>
      <c r="S4" s="301" t="s">
        <v>20</v>
      </c>
      <c r="T4" s="301" t="s">
        <v>21</v>
      </c>
      <c r="U4" s="296" t="s">
        <v>202</v>
      </c>
      <c r="V4" s="251" t="s">
        <v>11</v>
      </c>
      <c r="W4" s="301" t="s">
        <v>203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201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204</v>
      </c>
      <c r="AN4" s="294" t="s">
        <v>205</v>
      </c>
      <c r="AO4" s="294" t="s">
        <v>32</v>
      </c>
      <c r="AP4" s="294" t="s">
        <v>206</v>
      </c>
      <c r="AQ4" s="294" t="s">
        <v>207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667222.28</v>
      </c>
      <c r="D6" s="33">
        <f>'4.1'!D6+'4.2'!D6+'4.3'!D6+'4.4'!D6+'4.5'!D6+'4.6'!D6+'4.7'!D6+'4.8'!D6+'4.9'!D6+'4.10'!D6</f>
        <v>53664.92</v>
      </c>
      <c r="E6" s="34">
        <f>'4.1'!E6</f>
        <v>3577.58</v>
      </c>
      <c r="F6" s="35">
        <f>'4.1'!F6+'4.2'!F6+'4.3'!F6+'4.4'!F6+'4.5'!F6+'4.6'!F6+'4.7'!F6+'4.8'!F6+'4.9'!F6+'4.10'!F6</f>
        <v>236283.88</v>
      </c>
      <c r="G6" s="442">
        <f>'4.1'!G6+'4.2'!G6+'4.3'!G6+'4.4'!G6+'4.5'!G6+'4.6'!G6+'4.7'!G6+'4.8'!G6+'4.9'!G6+'4.10'!G6</f>
        <v>962.01</v>
      </c>
      <c r="H6" s="306">
        <f>H12+I12+J12</f>
        <v>84.35</v>
      </c>
      <c r="I6" s="442">
        <f>'4.1'!I6+'4.2'!I6+'4.3'!I6+'4.4'!I6+'4.5'!I6+'4.6'!I6+'4.7'!I6+'4.8'!I6+'4.9'!I6+'4.10'!I6</f>
        <v>383564.05</v>
      </c>
      <c r="J6" s="306">
        <f>H11+I11+J11</f>
        <v>33634.92</v>
      </c>
      <c r="K6" s="33">
        <f>'4.10'!K6</f>
        <v>0</v>
      </c>
      <c r="L6" s="312"/>
      <c r="M6" s="50">
        <f>'4.1'!M6+'4.2'!M6+'4.3'!M6+'4.4'!M6+'4.5'!M6+'4.6'!M6+'4.7'!M6+'4.8'!M6+'4.9'!M6+'4.10'!M6</f>
        <v>27887.05</v>
      </c>
      <c r="N6" s="306">
        <f>M9-R6</f>
        <v>32451.32</v>
      </c>
      <c r="O6" s="313">
        <f>P11+P12+P13</f>
        <v>0</v>
      </c>
      <c r="P6" s="315"/>
      <c r="Q6" s="316"/>
      <c r="R6" s="306">
        <f>R11+S11+T11+U11</f>
        <v>16130.53</v>
      </c>
      <c r="S6" s="306">
        <f>R12+S12+T12+U12</f>
        <v>16279.08</v>
      </c>
      <c r="T6" s="306">
        <f>R13+S13+T13+U13</f>
        <v>52.81</v>
      </c>
      <c r="U6" s="320"/>
      <c r="V6" s="312"/>
      <c r="W6" s="77"/>
      <c r="X6" s="78">
        <f>'4.1'!X6+'4.2'!X6+'4.3'!X6+'4.4'!X6+'4.5'!X6+'4.6'!X6+'4.7'!X6+'4.8'!X6+'4.9'!X6+'4.10'!X6</f>
        <v>193456.56</v>
      </c>
      <c r="Y6" s="442">
        <f>'4.1'!Y6+'4.2'!Y6+'4.3'!Y6+'4.4'!Y6+'4.5'!Y6+'4.6'!Y6+'4.7'!Y6+'4.8'!Y6+'4.9'!Y6+'4.10'!Y6</f>
        <v>-123.03</v>
      </c>
      <c r="Z6" s="327"/>
      <c r="AA6" s="97">
        <f>'4.1'!AA6+'4.2'!AA6+'4.3'!AA6+'4.4'!AA6+'4.5'!AA6+'4.6'!AA6+'4.7'!AA6+'4.8'!AA6+'4.9'!AA6+'4.10'!AA6</f>
        <v>0</v>
      </c>
      <c r="AB6" s="331"/>
      <c r="AC6" s="98">
        <f>'4.1'!AC6+'4.2'!AC6+'4.3'!AC6+'4.4'!AC6+'4.5'!AC6+'4.6'!AC6+'4.7'!AC6+'4.8'!AC6+'4.9'!AC6+'4.10'!AC6</f>
        <v>0</v>
      </c>
      <c r="AD6" s="442">
        <f>'4.1'!AD6+'4.2'!AD6+'4.3'!AD6+'4.4'!AD6+'4.5'!AD6+'4.6'!AD6+'4.7'!AD6+'4.8'!AD6+'4.9'!AD6+'4.10'!AD6</f>
        <v>0</v>
      </c>
      <c r="AE6" s="442">
        <f>'4.1'!AE6+'4.2'!AE6+'4.3'!AE6+'4.4'!AE6+'4.5'!AE6+'4.6'!AE6+'4.7'!AE6+'4.8'!AE6+'4.9'!AE6+'4.10'!AE6</f>
        <v>0</v>
      </c>
      <c r="AF6" s="334"/>
      <c r="AG6" s="113">
        <f>'4.1'!AG6</f>
        <v>0</v>
      </c>
      <c r="AH6" s="114">
        <f>'4.1'!AH6+'4.2'!AH6+'4.3'!AH6+'4.4'!AH6+'4.5'!AH6+'4.6'!AH6+'4.7'!AH6+'4.8'!AH6+'4.9'!AH6+'4.10'!AH6</f>
        <v>0</v>
      </c>
      <c r="AI6" s="115">
        <f>'4.1'!AI6+'4.2'!AI6+'4.3'!AI6+'4.4'!AI6+'4.5'!AI6+'4.6'!AI6+'4.7'!AI6+'4.8'!AI6+'4.9'!AI6+'4.10'!AI6</f>
        <v>0</v>
      </c>
      <c r="AJ6" s="115">
        <f>'4.1'!AJ6+'4.2'!AJ6+'4.3'!AJ6+'4.4'!AJ6+'4.5'!AJ6+'4.6'!AJ6+'4.7'!AJ6+'4.8'!AJ6+'4.9'!AJ6+'4.10'!AJ6</f>
        <v>0</v>
      </c>
      <c r="AK6" s="116">
        <f>AG6+AH6-AI6-AJ6+AH14-AI14</f>
        <v>0</v>
      </c>
      <c r="AL6" s="117">
        <f>'4.1'!AL6+'4.2'!AL6+'4.3'!AL6+'4.4'!AL6+'4.5'!AL6+'4.6'!AL6+'4.7'!AL6+'4.8'!AL6+'4.9'!AL6+'4.10'!AL6</f>
        <v>0</v>
      </c>
      <c r="AM6" s="118">
        <f>AM8+AM10</f>
        <v>1181804.97</v>
      </c>
      <c r="AN6" s="119">
        <f>AN8+AN10</f>
        <v>567562.43999999994</v>
      </c>
      <c r="AO6" s="119">
        <f t="shared" ref="AO6:AP6" si="0">AO8+AO10</f>
        <v>0</v>
      </c>
      <c r="AP6" s="119">
        <f t="shared" si="0"/>
        <v>599905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198425.55</v>
      </c>
      <c r="D7" s="39">
        <f>'4.1'!D7+'4.2'!D7+'4.3'!D7+'4.4'!D7+'4.5'!D7+'4.6'!D7+'4.7'!D7+'4.8'!D7+'4.9'!D7+'4.10'!D7</f>
        <v>0</v>
      </c>
      <c r="E7" s="34">
        <f>'4.1'!E7</f>
        <v>1599</v>
      </c>
      <c r="F7" s="40">
        <f>'4.1'!F7+'4.2'!F7+'4.3'!F7+'4.4'!F7+'4.5'!F7+'4.6'!F7+'4.7'!F7+'4.8'!F7+'4.9'!F7+'4.10'!F7</f>
        <v>179523.55</v>
      </c>
      <c r="G7" s="443">
        <f>'4.1'!G7+'4.2'!G7+'4.3'!G7+'4.4'!G7+'4.5'!G7+'4.6'!G7+'4.7'!G7+'4.8'!G7+'4.9'!G7+'4.10'!G7</f>
        <v>0</v>
      </c>
      <c r="H7" s="307"/>
      <c r="I7" s="443">
        <f>'4.1'!I7+'4.2'!I7+'4.3'!I7+'4.4'!I7+'4.5'!I7+'4.6'!I7+'4.7'!I7+'4.8'!I7+'4.9'!I7+'4.10'!I7</f>
        <v>0</v>
      </c>
      <c r="J7" s="307"/>
      <c r="K7" s="62">
        <f>'4.10'!K7</f>
        <v>0</v>
      </c>
      <c r="L7" s="312"/>
      <c r="M7" s="63">
        <f>'4.1'!M7+'4.2'!M7+'4.3'!M7+'4.4'!M7+'4.5'!M7+'4.6'!M7+'4.7'!M7+'4.8'!M7+'4.9'!M7+'4.10'!M7</f>
        <v>18902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198425.55</v>
      </c>
      <c r="X7" s="80"/>
      <c r="Y7" s="443">
        <f>'4.1'!Y7+'4.2'!Y7+'4.3'!Y7+'4.4'!Y7+'4.5'!Y7+'4.6'!Y7+'4.7'!Y7+'4.8'!Y7+'4.9'!Y7+'4.10'!Y7</f>
        <v>0</v>
      </c>
      <c r="Z7" s="328"/>
      <c r="AA7" s="99"/>
      <c r="AB7" s="332"/>
      <c r="AC7" s="63">
        <f>'4.1'!AC7+'4.2'!AC7+'4.3'!AC7+'4.4'!AC7+'4.5'!AC7+'4.6'!AC7+'4.7'!AC7+'4.8'!AC7+'4.9'!AC7+'4.10'!AC7</f>
        <v>0</v>
      </c>
      <c r="AD7" s="443">
        <f>'4.1'!AD7+'4.2'!AD7+'4.3'!AD7+'4.4'!AD7+'4.5'!AD7+'4.6'!AD7+'4.7'!AD7+'4.8'!AD7+'4.9'!AD7+'4.10'!AD7</f>
        <v>0</v>
      </c>
      <c r="AE7" s="443">
        <f>'4.1'!AE7+'4.2'!AE7+'4.3'!AE7+'4.4'!AE7+'4.5'!AE7+'4.6'!AE7+'4.7'!AE7+'4.8'!AE7+'4.9'!AE7+'4.10'!AE7</f>
        <v>0</v>
      </c>
      <c r="AF7" s="335"/>
      <c r="AG7" s="258" t="s">
        <v>41</v>
      </c>
      <c r="AH7" s="258"/>
      <c r="AI7" s="258"/>
      <c r="AJ7" s="258"/>
      <c r="AK7" s="259"/>
      <c r="AL7" s="120">
        <f>'4.1'!AL7+'4.2'!AL7+'4.3'!AL7+'4.4'!AL7+'4.5'!AL7+'4.6'!AL7+'4.7'!AL7+'4.8'!AL7+'4.9'!AL7+'4.10'!AL7</f>
        <v>0</v>
      </c>
      <c r="AM7" s="55" t="s">
        <v>208</v>
      </c>
      <c r="AN7" s="30" t="s">
        <v>209</v>
      </c>
      <c r="AO7" s="30" t="s">
        <v>44</v>
      </c>
      <c r="AP7" s="30" t="s">
        <v>210</v>
      </c>
      <c r="AQ7" s="30" t="s">
        <v>211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2001.4</v>
      </c>
      <c r="D8" s="41">
        <f>'4.1'!D8+'4.2'!D8+'4.3'!D8+'4.4'!D8+'4.5'!D8+'4.6'!D8+'4.7'!D8+'4.8'!D8+'4.9'!D8+'4.10'!D8</f>
        <v>0</v>
      </c>
      <c r="E8" s="34">
        <f>'4.1'!E8</f>
        <v>0</v>
      </c>
      <c r="F8" s="42">
        <f>'4.1'!F8+'4.2'!F8+'4.3'!F8+'4.4'!F8+'4.5'!F8+'4.6'!F8+'4.7'!F8+'4.8'!F8+'4.9'!F8+'4.10'!F8</f>
        <v>208.6</v>
      </c>
      <c r="G8" s="444">
        <f>'4.1'!G8+'4.2'!G8+'4.3'!G8+'4.4'!G8+'4.5'!G8+'4.6'!G8+'4.7'!G8+'4.8'!G8+'4.9'!G8+'4.10'!G8</f>
        <v>0</v>
      </c>
      <c r="H8" s="308"/>
      <c r="I8" s="444">
        <f>'4.1'!I8+'4.2'!I8+'4.3'!I8+'4.4'!I8+'4.5'!I8+'4.6'!I8+'4.7'!I8+'4.8'!I8+'4.9'!I8+'4.10'!I8</f>
        <v>0</v>
      </c>
      <c r="J8" s="308"/>
      <c r="K8" s="41">
        <f>'4.10'!K8</f>
        <v>0</v>
      </c>
      <c r="L8" s="312"/>
      <c r="M8" s="64">
        <f>'4.1'!M8+'4.2'!M8+'4.3'!M8+'4.4'!M8+'4.5'!M8+'4.6'!M8+'4.7'!M8+'4.8'!M8+'4.9'!M8+'4.10'!M8</f>
        <v>1792.8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82">
        <f>'4.1'!X8+'4.2'!X8+'4.3'!X8+'4.4'!X8+'4.5'!X8+'4.6'!X8+'4.7'!X8+'4.8'!X8+'4.9'!X8+'4.10'!X8</f>
        <v>0</v>
      </c>
      <c r="Y8" s="444">
        <f>'4.1'!Y8+'4.2'!Y8+'4.3'!Y8+'4.4'!Y8+'4.5'!Y8+'4.6'!Y8+'4.7'!Y8+'4.8'!Y8+'4.9'!Y8+'4.10'!Y8</f>
        <v>0</v>
      </c>
      <c r="Z8" s="329"/>
      <c r="AA8" s="100">
        <f>'4.1'!AA8+'4.2'!AA8+'4.3'!AA8+'4.4'!AA8+'4.5'!AA8+'4.6'!AA8+'4.7'!AA8+'4.8'!AA8+'4.9'!AA8+'4.10'!AA8</f>
        <v>0</v>
      </c>
      <c r="AB8" s="333"/>
      <c r="AC8" s="101">
        <f>'4.1'!AC8+'4.2'!AC8+'4.3'!AC8+'4.4'!AC8+'4.5'!AC8+'4.6'!AC8+'4.7'!AC8+'4.8'!AC8+'4.9'!AC8+'4.10'!AC8</f>
        <v>0</v>
      </c>
      <c r="AD8" s="444">
        <f>'4.1'!AD8+'4.2'!AD8+'4.3'!AD8+'4.4'!AD8+'4.5'!AD8+'4.6'!AD8+'4.7'!AD8+'4.8'!AD8+'4.9'!AD8+'4.10'!AD8</f>
        <v>0</v>
      </c>
      <c r="AE8" s="444">
        <f>'4.1'!AE8+'4.2'!AE8+'4.3'!AE8+'4.4'!AE8+'4.5'!AE8+'4.6'!AE8+'4.7'!AE8+'4.8'!AE8+'4.9'!AE8+'4.10'!AE8</f>
        <v>0</v>
      </c>
      <c r="AF8" s="336"/>
      <c r="AG8" s="85" t="s">
        <v>201</v>
      </c>
      <c r="AH8" s="49" t="s">
        <v>27</v>
      </c>
      <c r="AI8" s="49" t="s">
        <v>28</v>
      </c>
      <c r="AJ8" s="49" t="s">
        <v>20</v>
      </c>
      <c r="AK8" s="84" t="s">
        <v>15</v>
      </c>
      <c r="AL8" s="121">
        <f>'4.1'!AL8+'4.2'!AL8+'4.3'!AL8+'4.4'!AL8+'4.5'!AL8+'4.6'!AL8+'4.7'!AL8+'4.8'!AL8+'4.9'!AL8+'4.10'!AL8</f>
        <v>0</v>
      </c>
      <c r="AM8" s="118">
        <f>'4.1'!AM8</f>
        <v>194683.04</v>
      </c>
      <c r="AN8" s="122">
        <f>I6+AJ6+AL9+P11+AJ12+AJ9+AD9</f>
        <v>517648.44</v>
      </c>
      <c r="AO8" s="150">
        <f>'4.1'!AO8+'4.2'!AO8+'4.3'!AO8+'4.4'!AO8+'4.5'!AO8+'4.6'!AO8+'4.7'!AO8+'4.8'!AO8+'4.9'!AO8+'4.10'!AO8</f>
        <v>0</v>
      </c>
      <c r="AP8" s="150">
        <f>'4.1'!AP8+'4.2'!AP8+'4.3'!AP8+'4.4'!AP8+'4.5'!AP8+'4.6'!AP8+'4.7'!AP8+'4.8'!AP8+'4.9'!AP8+'4.10'!AP8</f>
        <v>215015</v>
      </c>
      <c r="AQ8" s="151">
        <f>AM8+AN8+AO8-AP8</f>
        <v>497316.48</v>
      </c>
      <c r="AR8" s="152">
        <f>'4.10'!AR8</f>
        <v>0</v>
      </c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867649.23</v>
      </c>
      <c r="D9" s="44">
        <f t="shared" ref="D9:F9" si="1">D6+D7+D8</f>
        <v>53664.92</v>
      </c>
      <c r="E9" s="45">
        <f>'4.1'!E9</f>
        <v>5176.5800000000499</v>
      </c>
      <c r="F9" s="32">
        <f t="shared" si="1"/>
        <v>416016.03</v>
      </c>
      <c r="G9" s="32">
        <f>G6</f>
        <v>962.01</v>
      </c>
      <c r="H9" s="32">
        <f>H6</f>
        <v>84.35</v>
      </c>
      <c r="I9" s="32">
        <f>I6</f>
        <v>383564.05</v>
      </c>
      <c r="J9" s="32">
        <f>J6</f>
        <v>33634.92</v>
      </c>
      <c r="K9" s="65">
        <f>E9+F9-G9-H9-I9-J9</f>
        <v>2947.2800000000698</v>
      </c>
      <c r="L9" s="66">
        <f>'4.1'!L9</f>
        <v>31767.630000000099</v>
      </c>
      <c r="M9" s="32">
        <f>M6+M7+M8</f>
        <v>48581.85</v>
      </c>
      <c r="N9" s="32">
        <f>N6</f>
        <v>32451.32</v>
      </c>
      <c r="O9" s="32">
        <f>O6</f>
        <v>0</v>
      </c>
      <c r="P9" s="65">
        <f>L9+N9-O9+L11-L13</f>
        <v>51567.370000000097</v>
      </c>
      <c r="Q9" s="34">
        <f>'4.1'!Q9</f>
        <v>220.359999999998</v>
      </c>
      <c r="R9" s="32">
        <f>R6</f>
        <v>16130.53</v>
      </c>
      <c r="S9" s="32">
        <f>S6</f>
        <v>16279.08</v>
      </c>
      <c r="T9" s="32">
        <f>T6</f>
        <v>52.81</v>
      </c>
      <c r="U9" s="65">
        <f>Q9+R9-S9-T9</f>
        <v>18.999999999997701</v>
      </c>
      <c r="V9" s="66">
        <f>'4.1'!V9</f>
        <v>727390.9</v>
      </c>
      <c r="W9" s="32">
        <f>W7</f>
        <v>198425.55</v>
      </c>
      <c r="X9" s="32">
        <f>X6+X8</f>
        <v>193456.56</v>
      </c>
      <c r="Y9" s="32">
        <f>Y6</f>
        <v>-123.03</v>
      </c>
      <c r="Z9" s="102">
        <f>V9+W9-X9-Y9-AA9</f>
        <v>732482.92</v>
      </c>
      <c r="AA9" s="103">
        <f>AA6+AA8</f>
        <v>0</v>
      </c>
      <c r="AB9" s="104">
        <f>'4.1'!AB9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'4.1'!AG9</f>
        <v>-1.13686837721616E-13</v>
      </c>
      <c r="AH9" s="124">
        <f>'4.1'!AH9+'4.2'!AH9+'4.3'!AH9+'4.4'!AH9+'4.5'!AH9+'4.6'!AH9+'4.7'!AH9+'4.8'!AH9+'4.9'!AH9+'4.10'!AH9</f>
        <v>6639.86</v>
      </c>
      <c r="AI9" s="124">
        <f>'4.1'!AI9+'4.2'!AI9+'4.3'!AI9+'4.4'!AI9+'4.5'!AI9+'4.6'!AI9+'4.7'!AI9+'4.8'!AI9+'4.9'!AI9+'4.10'!AI9</f>
        <v>430</v>
      </c>
      <c r="AJ9" s="124">
        <f>'4.1'!AJ9+'4.2'!AJ9+'4.3'!AJ9+'4.4'!AJ9+'4.5'!AJ9+'4.6'!AJ9+'4.7'!AJ9+'4.8'!AJ9+'4.9'!AJ9+'4.10'!AJ9</f>
        <v>6394.69</v>
      </c>
      <c r="AK9" s="125">
        <f>AG9+AH9-AI9-AJ9+AK14-AL14</f>
        <v>9.0949470177292804E-13</v>
      </c>
      <c r="AL9" s="126">
        <f>AL6+AL7+AL8</f>
        <v>0</v>
      </c>
      <c r="AM9" s="127" t="s">
        <v>212</v>
      </c>
      <c r="AN9" s="128" t="s">
        <v>213</v>
      </c>
      <c r="AO9" s="128" t="s">
        <v>53</v>
      </c>
      <c r="AP9" s="128" t="s">
        <v>214</v>
      </c>
      <c r="AQ9" s="153" t="s">
        <v>215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987121.93</v>
      </c>
      <c r="AN10" s="130">
        <f t="shared" si="2"/>
        <v>49914</v>
      </c>
      <c r="AO10" s="43">
        <f t="shared" si="2"/>
        <v>0</v>
      </c>
      <c r="AP10" s="43">
        <f t="shared" si="2"/>
        <v>384890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439">
        <f>'4.1'!A11+'4.2'!A11+'4.3'!A11+'4.4'!A11+'4.5'!A11+'4.6'!A11+'4.7'!A11+'4.8'!A11+'4.9'!A11+'4.10'!A11</f>
        <v>668521.16</v>
      </c>
      <c r="B11" s="439">
        <f>'4.1'!B11+'4.2'!B11+'4.3'!B11+'4.4'!B11+'4.5'!B11+'4.6'!B11+'4.7'!B11+'4.8'!B11+'4.9'!B11+'4.10'!B11</f>
        <v>0</v>
      </c>
      <c r="C11" s="51">
        <f>'4.1'!C11+'4.2'!C11+'4.3'!C11+'4.4'!C11+'4.5'!C11+'4.6'!C11+'4.7'!C11+'4.8'!C11+'4.9'!C11+'4.10'!C11</f>
        <v>0</v>
      </c>
      <c r="D11" s="297"/>
      <c r="E11" s="264"/>
      <c r="F11" s="358"/>
      <c r="G11" s="49" t="s">
        <v>76</v>
      </c>
      <c r="H11" s="52">
        <f>'4.1'!H11+'4.2'!H11+'4.3'!H11+'4.4'!H11+'4.5'!H11+'4.6'!H11+'4.7'!H11+'4.8'!H11+'4.9'!H11+'4.10'!H11</f>
        <v>33634.92</v>
      </c>
      <c r="I11" s="70">
        <f>'4.1'!I11+'4.2'!I11+'4.3'!I11+'4.4'!I11+'4.5'!I11+'4.6'!I11+'4.7'!I11+'4.8'!I11+'4.9'!I11+'4.10'!I11</f>
        <v>0</v>
      </c>
      <c r="J11" s="71">
        <f>'4.1'!J11+'4.2'!J11+'4.3'!J11+'4.4'!J11+'4.5'!J11+'4.6'!J11+'4.7'!J11+'4.8'!J11+'4.9'!J11+'4.10'!J11</f>
        <v>0</v>
      </c>
      <c r="K11" s="72">
        <f>ROUND(K6+K7+K8-K9,2)</f>
        <v>-2947.28</v>
      </c>
      <c r="L11" s="50">
        <f>'4.1'!L11+'4.2'!L11+'4.3'!L11+'4.4'!L11+'4.5'!L11+'4.6'!L11+'4.7'!L11+'4.8'!L11+'4.9'!L11+'4.10'!L11</f>
        <v>984</v>
      </c>
      <c r="M11" s="267"/>
      <c r="N11" s="267"/>
      <c r="O11" s="49" t="s">
        <v>37</v>
      </c>
      <c r="P11" s="73">
        <f>'4.1'!P11+'4.2'!P11+'4.3'!P11+'4.4'!P11+'4.5'!P11+'4.6'!P11+'4.7'!P11+'4.8'!P11+'4.9'!P11+'4.10'!P11</f>
        <v>0</v>
      </c>
      <c r="Q11" s="85" t="s">
        <v>77</v>
      </c>
      <c r="R11" s="86">
        <f>'4.1'!R11+'4.2'!R11+'4.3'!R11+'4.4'!R11+'4.5'!R11+'4.6'!R11+'4.7'!R11+'4.8'!R11+'4.9'!R11+'4.10'!R11</f>
        <v>0</v>
      </c>
      <c r="S11" s="87">
        <f>'4.1'!S11+'4.2'!S11+'4.3'!S11+'4.4'!S11+'4.5'!S11+'4.6'!S11+'4.7'!S11+'4.8'!S11+'4.9'!S11+'4.10'!S11</f>
        <v>16130.53</v>
      </c>
      <c r="T11" s="88">
        <f>'4.1'!T11+'4.2'!T11+'4.3'!T11+'4.4'!T11+'4.5'!T11+'4.6'!T11+'4.7'!T11+'4.8'!T11+'4.9'!T11+'4.10'!T11</f>
        <v>0</v>
      </c>
      <c r="U11" s="89">
        <f>'4.1'!U11+'4.2'!U11+'4.3'!U11+'4.4'!U11+'4.5'!U11+'4.6'!U11+'4.7'!U11+'4.8'!U11+'4.9'!U11+'4.10'!U11</f>
        <v>0</v>
      </c>
      <c r="V11" s="350"/>
      <c r="W11" s="351"/>
      <c r="X11" s="294"/>
      <c r="Y11" s="294"/>
      <c r="Z11" s="330"/>
      <c r="AA11" s="73">
        <f>'4.10'!AA11</f>
        <v>0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52">
        <f>'4.1'!H12+'4.2'!H12+'4.3'!H12+'4.4'!H12+'4.5'!H12+'4.6'!H12+'4.7'!H12+'4.8'!H12+'4.9'!H12+'4.10'!H12</f>
        <v>84.35</v>
      </c>
      <c r="I12" s="70">
        <f>'4.1'!I12+'4.2'!I12+'4.3'!I12+'4.4'!I12+'4.5'!I12+'4.6'!I12+'4.7'!I12+'4.8'!I12+'4.9'!I12+'4.10'!I12</f>
        <v>0</v>
      </c>
      <c r="J12" s="71">
        <f>'4.1'!J12+'4.2'!J12+'4.3'!J12+'4.4'!J12+'4.5'!J12+'4.6'!J12+'4.7'!J12+'4.8'!J12+'4.9'!J12+'4.10'!J12</f>
        <v>0</v>
      </c>
      <c r="K12" s="309"/>
      <c r="L12" s="49" t="s">
        <v>87</v>
      </c>
      <c r="M12" s="267"/>
      <c r="N12" s="267"/>
      <c r="O12" s="49" t="s">
        <v>61</v>
      </c>
      <c r="P12" s="74">
        <f>'4.1'!P12+'4.2'!P12+'4.3'!P12+'4.4'!P12+'4.5'!P12+'4.6'!P12+'4.7'!P12+'4.8'!P12+'4.9'!P12+'4.10'!P12</f>
        <v>0</v>
      </c>
      <c r="Q12" s="90" t="s">
        <v>20</v>
      </c>
      <c r="R12" s="86">
        <f>'4.1'!R12+'4.2'!R12+'4.3'!R12+'4.4'!R12+'4.5'!R12+'4.6'!R12+'4.7'!R12+'4.8'!R12+'4.9'!R12+'4.10'!R12</f>
        <v>0</v>
      </c>
      <c r="S12" s="87">
        <f>'4.1'!S12+'4.2'!S12+'4.3'!S12+'4.4'!S12+'4.5'!S12+'4.6'!S12+'4.7'!S12+'4.8'!S12+'4.9'!S12+'4.10'!S12</f>
        <v>16279.08</v>
      </c>
      <c r="T12" s="88">
        <f>'4.1'!T12+'4.2'!T12+'4.3'!T12+'4.4'!T12+'4.5'!T12+'4.6'!T12+'4.7'!T12+'4.8'!T12+'4.9'!T12+'4.10'!T12</f>
        <v>0</v>
      </c>
      <c r="U12" s="89">
        <f>'4.1'!U12+'4.2'!U12+'4.3'!U12+'4.4'!U12+'4.5'!U12+'4.6'!U12+'4.7'!U12+'4.8'!U12+'4.9'!U12+'4.10'!U12</f>
        <v>0</v>
      </c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'4.1'!AG12</f>
        <v>287.2</v>
      </c>
      <c r="AH12" s="114">
        <f>'4.1'!AH12+'4.2'!AH12+'4.3'!AH12+'4.4'!AH12+'4.5'!AH12+'4.6'!AH12+'4.7'!AH12+'4.8'!AH12+'4.9'!AH12+'4.10'!AH12</f>
        <v>149290.01</v>
      </c>
      <c r="AI12" s="132">
        <f>AG12+AH12-AJ12-AK12</f>
        <v>21887.51</v>
      </c>
      <c r="AJ12" s="114">
        <f>'4.1'!AJ12+'4.2'!AJ12+'4.3'!AJ12+'4.4'!AJ12+'4.5'!AJ12+'4.6'!AJ12+'4.7'!AJ12+'4.8'!AJ12+'4.9'!AJ12+'4.10'!AJ12</f>
        <v>127689.7</v>
      </c>
      <c r="AK12" s="133">
        <f>'4.10'!AK12</f>
        <v>0</v>
      </c>
      <c r="AL12" s="340"/>
      <c r="AM12" s="134">
        <f>'4.1'!AM12</f>
        <v>893299.07</v>
      </c>
      <c r="AN12" s="38">
        <f>H11+P12+R12</f>
        <v>33634.92</v>
      </c>
      <c r="AO12" s="52">
        <f>'4.1'!AO12+'4.2'!AO12+'4.3'!AO12+'4.4'!AO12+'4.5'!AO12+'4.6'!AO12+'4.7'!AO12+'4.8'!AO12+'4.9'!AO12+'4.10'!AO12</f>
        <v>0</v>
      </c>
      <c r="AP12" s="52">
        <f>'4.1'!AP12+'4.2'!AP12+'4.3'!AP12+'4.4'!AP12+'4.5'!AP12+'4.6'!AP12+'4.7'!AP12+'4.8'!AP12+'4.9'!AP12+'4.10'!AP12</f>
        <v>376920</v>
      </c>
      <c r="AQ12" s="32">
        <f>AM12+AN12+AO12-AP12</f>
        <v>550013.99</v>
      </c>
      <c r="AR12" s="52">
        <f>'4.10'!AR12</f>
        <v>0</v>
      </c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-1298.8800000000001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50">
        <f>'4.1'!L13+'4.2'!L13+'4.3'!L13+'4.4'!L13+'4.5'!L13+'4.6'!L13+'4.7'!L13+'4.8'!L13+'4.9'!L13+'4.10'!L13</f>
        <v>13635.58</v>
      </c>
      <c r="M13" s="267"/>
      <c r="N13" s="267"/>
      <c r="O13" s="49" t="s">
        <v>62</v>
      </c>
      <c r="P13" s="75">
        <f>'4.1'!P13+'4.2'!P13+'4.3'!P13+'4.4'!P13+'4.5'!P13+'4.6'!P13+'4.7'!P13+'4.8'!P13+'4.9'!P13+'4.10'!P13</f>
        <v>0</v>
      </c>
      <c r="Q13" s="90" t="s">
        <v>21</v>
      </c>
      <c r="R13" s="86">
        <f>'4.1'!R13+'4.2'!R13+'4.3'!R13+'4.4'!R13+'4.5'!R13+'4.6'!R13+'4.7'!R13+'4.8'!R13+'4.9'!R13+'4.10'!R13</f>
        <v>0</v>
      </c>
      <c r="S13" s="87">
        <f>'4.1'!S13+'4.2'!S13+'4.3'!S13+'4.4'!S13+'4.5'!S13+'4.6'!S13+'4.7'!S13+'4.8'!S13+'4.9'!S13+'4.10'!S13</f>
        <v>52.81</v>
      </c>
      <c r="T13" s="88">
        <f>'4.1'!T13+'4.2'!T13+'4.3'!T13+'4.4'!T13+'4.5'!T13+'4.6'!T13+'4.7'!T13+'4.8'!T13+'4.9'!T13+'4.10'!T13</f>
        <v>0</v>
      </c>
      <c r="U13" s="89">
        <f>'4.1'!U13+'4.2'!U13+'4.3'!U13+'4.4'!U13+'4.5'!U13+'4.6'!U13+'4.7'!U13+'4.8'!U13+'4.9'!U13+'4.10'!U13</f>
        <v>0</v>
      </c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216</v>
      </c>
      <c r="AN13" s="131" t="s">
        <v>96</v>
      </c>
      <c r="AO13" s="131" t="s">
        <v>97</v>
      </c>
      <c r="AP13" s="131" t="s">
        <v>217</v>
      </c>
      <c r="AQ13" s="131" t="s">
        <v>218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92">
        <f>'4.10'!R14</f>
        <v>0</v>
      </c>
      <c r="S14" s="92">
        <f>'4.10'!S14</f>
        <v>0</v>
      </c>
      <c r="T14" s="92">
        <f>'4.10'!T14</f>
        <v>0</v>
      </c>
      <c r="U14" s="92">
        <f>'4.10'!U14</f>
        <v>0</v>
      </c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114">
        <f>'4.1'!AG14+'4.2'!AG14+'4.3'!AG14+'4.4'!AG14+'4.5'!AG14+'4.6'!AG14+'4.7'!AG14+'4.8'!AG14+'4.9'!AG14+'4.10'!AG14</f>
        <v>0</v>
      </c>
      <c r="AH14" s="138">
        <f>IF(AG14-AH6&gt;0,AG14-AH6,IF(AG14-AH6&lt;=0,0))</f>
        <v>0</v>
      </c>
      <c r="AI14" s="138">
        <f>IF(AH6-AG14&gt;0,AH6-AG14,IF(AH6-AG14&lt;=0,0))</f>
        <v>0</v>
      </c>
      <c r="AJ14" s="114">
        <f>'4.1'!AJ14+'4.2'!AJ14+'4.3'!AJ14+'4.4'!AJ14+'4.5'!AJ14+'4.6'!AJ14+'4.7'!AJ14+'4.8'!AJ14+'4.9'!AJ14+'4.10'!AJ14</f>
        <v>6824.69</v>
      </c>
      <c r="AK14" s="138">
        <f>IF(AJ14-AH9&gt;0,AJ14-AH9,IF(AJ14-AH9&lt;=0,0))</f>
        <v>184.83000000000101</v>
      </c>
      <c r="AL14" s="139" t="b">
        <f>IF(AH9-AJ14&gt;0,AH9-AJ14,IF(AJ14-AH9&lt;=0,0))</f>
        <v>0</v>
      </c>
      <c r="AM14" s="66">
        <f>'4.1'!AM14</f>
        <v>93822.86</v>
      </c>
      <c r="AN14" s="38">
        <f>I11+P13+S12</f>
        <v>16279.08</v>
      </c>
      <c r="AO14" s="86">
        <f>'4.1'!AO14+'4.2'!AO14+'4.3'!AO14+'4.4'!AO14+'4.5'!AO14+'4.6'!AO14+'4.7'!AO14+'4.8'!AO14+'4.9'!AO14+'4.10'!AO14</f>
        <v>0</v>
      </c>
      <c r="AP14" s="86">
        <f>'4.1'!AP14+'4.2'!AP14+'4.3'!AP14+'4.4'!AP14+'4.5'!AP14+'4.6'!AP14+'4.7'!AP14+'4.8'!AP14+'4.9'!AP14+'4.10'!AP14</f>
        <v>7970</v>
      </c>
      <c r="AQ14" s="32">
        <f>AM14+AN14+AO14-AP14</f>
        <v>102131.94</v>
      </c>
      <c r="AR14" s="86">
        <f>'4.10'!AR14</f>
        <v>0</v>
      </c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219</v>
      </c>
      <c r="AN15" s="141" t="s">
        <v>220</v>
      </c>
      <c r="AO15" s="141" t="s">
        <v>107</v>
      </c>
      <c r="AP15" s="141" t="s">
        <v>221</v>
      </c>
      <c r="AQ15" s="28" t="s">
        <v>222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'4.1'!AM16</f>
        <v>0</v>
      </c>
      <c r="AN16" s="53">
        <f>J11+T12</f>
        <v>0</v>
      </c>
      <c r="AO16" s="87">
        <f>'4.1'!AO16+'4.2'!AO16+'4.3'!AO16+'4.4'!AO16+'4.5'!AO16+'4.6'!AO16+'4.7'!AO16+'4.8'!AO16+'4.9'!AO16+'4.10'!AO16</f>
        <v>0</v>
      </c>
      <c r="AP16" s="87">
        <f>'4.1'!AP16+'4.2'!AP16+'4.3'!AP16+'4.4'!AP16+'4.5'!AP16+'4.6'!AP16+'4.7'!AP16+'4.8'!AP16+'4.9'!AP16+'4.10'!AP16</f>
        <v>0</v>
      </c>
      <c r="AQ16" s="53">
        <f>AM16+AN16+AO16-AP16</f>
        <v>0</v>
      </c>
      <c r="AR16" s="87">
        <f>'4.10'!AR16</f>
        <v>0</v>
      </c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223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224</v>
      </c>
      <c r="AN17" s="144" t="s">
        <v>225</v>
      </c>
      <c r="AO17" s="144" t="s">
        <v>124</v>
      </c>
      <c r="AP17" s="144" t="s">
        <v>226</v>
      </c>
      <c r="AQ17" s="56" t="s">
        <v>227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'4.1'!AM18</f>
        <v>0</v>
      </c>
      <c r="AN18" s="53">
        <f>U12</f>
        <v>0</v>
      </c>
      <c r="AO18" s="88">
        <f>'4.1'!AO18+'4.2'!AO18+'4.3'!AO18+'4.4'!AO18+'4.5'!AO18+'4.6'!AO18+'4.7'!AO18+'4.8'!AO18+'4.9'!AO18+'4.10'!AO18</f>
        <v>0</v>
      </c>
      <c r="AP18" s="88">
        <f>'4.1'!AP18+'4.2'!AP18+'4.3'!AP18+'4.4'!AP18+'4.5'!AP18+'4.6'!AP18+'4.7'!AP18+'4.8'!AP18+'4.9'!AP18+'4.10'!AP18</f>
        <v>0</v>
      </c>
      <c r="AQ18" s="53">
        <f>AM18+AN18+AO18-AP18</f>
        <v>0</v>
      </c>
      <c r="AR18" s="88">
        <f>'4.10'!AR18</f>
        <v>0</v>
      </c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'4.1'!C19</f>
        <v>11585.8</v>
      </c>
      <c r="D19" s="277"/>
      <c r="E19" s="313">
        <f>'4.1'!E19+'4.2'!E19+'4.3'!E19+'4.4'!E19+'4.5'!E19+'4.6'!E19+'4.7'!E19+'4.8'!E19+'4.9'!E19+'4.10'!E19</f>
        <v>92050</v>
      </c>
      <c r="F19" s="313"/>
      <c r="G19" s="46" t="s">
        <v>139</v>
      </c>
      <c r="H19" s="58">
        <f>'4.1'!H19</f>
        <v>146912.10999999999</v>
      </c>
      <c r="I19" s="76"/>
      <c r="J19" s="49"/>
      <c r="K19" s="32">
        <f>'4.10'!K19</f>
        <v>0</v>
      </c>
      <c r="L19" s="32">
        <f>'4.1'!L19+'4.2'!L19+'4.3'!L19+'4.4'!L19+'4.5'!L19+'4.6'!L19+'4.7'!L19+'4.8'!L19+'4.9'!L19+'4.10'!L19</f>
        <v>0</v>
      </c>
      <c r="M19" s="277">
        <f>'4.1'!M19+'4.2'!M19+'4.3'!M19+'4.4'!M19+'4.5'!M19+'4.6'!M19+'4.7'!M19+'4.8'!M19+'4.9'!M19+'4.10'!M19</f>
        <v>-146912.10999999999</v>
      </c>
      <c r="N19" s="277">
        <f>'4.1'!N19+'4.2'!N19+'4.3'!N19+'4.4'!N19+'4.5'!N19+'4.6'!N19+'4.7'!N19+'4.8'!N19+'4.9'!N19+'4.10'!N19</f>
        <v>0</v>
      </c>
      <c r="O19" s="362">
        <f>M19+M20+M21+M22</f>
        <v>-675424.87</v>
      </c>
      <c r="P19" s="363"/>
      <c r="Q19" s="362">
        <f>C19+E19-O19</f>
        <v>779060.67</v>
      </c>
      <c r="R19" s="363"/>
      <c r="S19" s="445">
        <f>'4.10'!S19</f>
        <v>0</v>
      </c>
      <c r="T19" s="446">
        <f>'4.10'!T19</f>
        <v>0</v>
      </c>
      <c r="U19" s="323">
        <f>S19-Q19</f>
        <v>-779060.67</v>
      </c>
      <c r="V19" s="323">
        <f>'4.10'!U19-'4.1'!U19</f>
        <v>-778267.39</v>
      </c>
      <c r="W19" s="306">
        <f>'4.10'!W19:W21</f>
        <v>0</v>
      </c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228</v>
      </c>
      <c r="AN19" s="141" t="s">
        <v>229</v>
      </c>
      <c r="AO19" s="28" t="s">
        <v>142</v>
      </c>
      <c r="AP19" s="28" t="s">
        <v>230</v>
      </c>
      <c r="AQ19" s="28" t="s">
        <v>231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/>
      <c r="D20" s="277"/>
      <c r="E20" s="313"/>
      <c r="F20" s="313"/>
      <c r="G20" s="46" t="s">
        <v>147</v>
      </c>
      <c r="H20" s="58">
        <f>'4.1'!H20</f>
        <v>221277.27</v>
      </c>
      <c r="I20" s="76"/>
      <c r="J20" s="49"/>
      <c r="K20" s="32">
        <f>'4.10'!K20</f>
        <v>0</v>
      </c>
      <c r="L20" s="32">
        <f>'4.1'!L20+'4.2'!L20+'4.3'!L20+'4.4'!L20+'4.5'!L20+'4.6'!L20+'4.7'!L20+'4.8'!L20+'4.9'!L20+'4.10'!L20</f>
        <v>0</v>
      </c>
      <c r="M20" s="277">
        <f>'4.1'!M20+'4.2'!M20+'4.3'!M20+'4.4'!M20+'4.5'!M20+'4.6'!M20+'4.7'!M20+'4.8'!M20+'4.9'!M20+'4.10'!M20</f>
        <v>-221277.27</v>
      </c>
      <c r="N20" s="277">
        <f>'4.1'!N20+'4.2'!N20+'4.3'!N20+'4.4'!N20+'4.5'!N20+'4.6'!N20+'4.7'!N20+'4.8'!N20+'4.9'!N20+'4.10'!N20</f>
        <v>0</v>
      </c>
      <c r="O20" s="364"/>
      <c r="P20" s="365"/>
      <c r="Q20" s="364"/>
      <c r="R20" s="365"/>
      <c r="S20" s="447">
        <f>'4.10'!S20</f>
        <v>0</v>
      </c>
      <c r="T20" s="448">
        <f>'4.10'!T20</f>
        <v>0</v>
      </c>
      <c r="U20" s="324"/>
      <c r="V20" s="324"/>
      <c r="W20" s="307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'4.1'!AM20</f>
        <v>0</v>
      </c>
      <c r="AN20" s="28"/>
      <c r="AO20" s="156">
        <f>'4.1'!AO20+'4.2'!AO20+'4.3'!AO20+'4.4'!AO20+'4.5'!AO20+'4.6'!AO20+'4.7'!AO20+'4.8'!AO20+'4.9'!AO20+'4.10'!AO20</f>
        <v>0</v>
      </c>
      <c r="AP20" s="156">
        <f>'4.1'!AP20+'4.2'!AP20+'4.3'!AP20+'4.4'!AP20+'4.5'!AP20+'4.6'!AP20+'4.7'!AP20+'4.8'!AP20+'4.9'!AP20+'4.10'!AP20</f>
        <v>0</v>
      </c>
      <c r="AQ20" s="53">
        <f>AM20+AN20+AO20-AP20</f>
        <v>0</v>
      </c>
      <c r="AR20" s="156">
        <f>'4.10'!AR20</f>
        <v>0</v>
      </c>
      <c r="AS20" s="155">
        <f>ROUND(AR20-AQ20,2)</f>
        <v>0</v>
      </c>
    </row>
    <row r="21" spans="1:45" ht="18" customHeight="1">
      <c r="A21" s="286"/>
      <c r="B21" s="292"/>
      <c r="C21" s="277"/>
      <c r="D21" s="277"/>
      <c r="E21" s="313"/>
      <c r="F21" s="313"/>
      <c r="G21" s="46" t="s">
        <v>148</v>
      </c>
      <c r="H21" s="58">
        <f>'4.1'!H21</f>
        <v>138356.84</v>
      </c>
      <c r="I21" s="76"/>
      <c r="J21" s="49"/>
      <c r="K21" s="32">
        <f>'4.10'!K21</f>
        <v>0</v>
      </c>
      <c r="L21" s="32">
        <f>'4.1'!L21+'4.2'!L21+'4.3'!L21+'4.4'!L21+'4.5'!L21+'4.6'!L21+'4.7'!L21+'4.8'!L21+'4.9'!L21+'4.10'!L21</f>
        <v>0</v>
      </c>
      <c r="M21" s="277">
        <f>'4.1'!M21+'4.2'!M21+'4.3'!M21+'4.4'!M21+'4.5'!M21+'4.6'!M21+'4.7'!M21+'4.8'!M21+'4.9'!M21+'4.10'!M21</f>
        <v>-138356.84</v>
      </c>
      <c r="N21" s="277">
        <f>'4.1'!N21+'4.2'!N21+'4.3'!N21+'4.4'!N21+'4.5'!N21+'4.6'!N21+'4.7'!N21+'4.8'!N21+'4.9'!N21+'4.10'!N21</f>
        <v>0</v>
      </c>
      <c r="O21" s="364"/>
      <c r="P21" s="365"/>
      <c r="Q21" s="364"/>
      <c r="R21" s="365"/>
      <c r="S21" s="447">
        <f>'4.10'!S21</f>
        <v>0</v>
      </c>
      <c r="T21" s="448">
        <f>'4.10'!T21</f>
        <v>0</v>
      </c>
      <c r="U21" s="324"/>
      <c r="V21" s="324"/>
      <c r="W21" s="307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232</v>
      </c>
      <c r="AN21" s="141" t="s">
        <v>233</v>
      </c>
      <c r="AO21" s="28" t="s">
        <v>151</v>
      </c>
      <c r="AP21" s="28" t="s">
        <v>234</v>
      </c>
      <c r="AQ21" s="28" t="s">
        <v>235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/>
      <c r="D22" s="277"/>
      <c r="E22" s="313"/>
      <c r="F22" s="313"/>
      <c r="G22" s="46" t="s">
        <v>156</v>
      </c>
      <c r="H22" s="58">
        <f>'4.1'!H22</f>
        <v>168878.65</v>
      </c>
      <c r="I22" s="76"/>
      <c r="J22" s="49"/>
      <c r="K22" s="32">
        <f>'4.10'!K22</f>
        <v>0</v>
      </c>
      <c r="L22" s="32">
        <f>'4.1'!L22+'4.2'!L22+'4.3'!L22+'4.4'!L22+'4.5'!L22+'4.6'!L22+'4.7'!L22+'4.8'!L22+'4.9'!L22+'4.10'!L22</f>
        <v>0</v>
      </c>
      <c r="M22" s="277">
        <f>'4.1'!M22+'4.2'!M22+'4.3'!M22+'4.4'!M22+'4.5'!M22+'4.6'!M22+'4.7'!M22+'4.8'!M22+'4.9'!M22+'4.10'!M22</f>
        <v>-168878.65</v>
      </c>
      <c r="N22" s="277">
        <f>'4.1'!N22+'4.2'!N22+'4.3'!N22+'4.4'!N22+'4.5'!N22+'4.6'!N22+'4.7'!N22+'4.8'!N22+'4.9'!N22+'4.10'!N22</f>
        <v>0</v>
      </c>
      <c r="O22" s="364"/>
      <c r="P22" s="365"/>
      <c r="Q22" s="364"/>
      <c r="R22" s="365"/>
      <c r="S22" s="447">
        <f>'4.10'!S22</f>
        <v>0</v>
      </c>
      <c r="T22" s="448">
        <f>'4.10'!T22</f>
        <v>0</v>
      </c>
      <c r="U22" s="324"/>
      <c r="V22" s="324"/>
      <c r="W22" s="307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'4.1'!AM22</f>
        <v>0</v>
      </c>
      <c r="AN22" s="28"/>
      <c r="AO22" s="70">
        <f>'4.1'!AO22+'4.2'!AO22+'4.3'!AO22+'4.4'!AO22+'4.5'!AO22+'4.6'!AO22+'4.7'!AO22+'4.8'!AO22+'4.9'!AO22+'4.10'!AO22</f>
        <v>0</v>
      </c>
      <c r="AP22" s="70">
        <f>'4.1'!AP22+'4.2'!AP22+'4.3'!AP22+'4.4'!AP22+'4.5'!AP22+'4.6'!AP22+'4.7'!AP22+'4.8'!AP22+'4.9'!AP22+'4.10'!AP22</f>
        <v>0</v>
      </c>
      <c r="AQ22" s="53">
        <f>AM22+AN22+AO22-AP22</f>
        <v>0</v>
      </c>
      <c r="AR22" s="70">
        <f>'4.10'!AR22</f>
        <v>0</v>
      </c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'4.1'!C24</f>
        <v>0</v>
      </c>
      <c r="D23" s="277"/>
      <c r="E23" s="313">
        <f>'4.1'!E23+'4.2'!E23+'4.3'!E23+'4.4'!E23+'4.5'!E23+'4.6'!E23+'4.7'!E23+'4.8'!E23+'4.9'!E23+'4.10'!E23</f>
        <v>23007</v>
      </c>
      <c r="F23" s="313"/>
      <c r="G23" s="46" t="s">
        <v>157</v>
      </c>
      <c r="H23" s="58">
        <f>'4.1'!H23</f>
        <v>59382.51</v>
      </c>
      <c r="I23" s="76"/>
      <c r="J23" s="49"/>
      <c r="K23" s="32">
        <f>'4.10'!K23</f>
        <v>0</v>
      </c>
      <c r="L23" s="32">
        <f>'4.1'!L23+'4.2'!L23+'4.3'!L23+'4.4'!L23+'4.5'!L23+'4.6'!L23+'4.7'!L23+'4.8'!L23+'4.9'!L23+'4.10'!L23</f>
        <v>0</v>
      </c>
      <c r="M23" s="277">
        <f>'4.1'!M23+'4.2'!M23+'4.3'!M23+'4.4'!M23+'4.5'!M23+'4.6'!M23+'4.7'!M23+'4.8'!M23+'4.9'!M23+'4.10'!M23</f>
        <v>-59382.51</v>
      </c>
      <c r="N23" s="277">
        <f>'4.1'!N23+'4.2'!N23+'4.3'!N23+'4.4'!N23+'4.5'!N23+'4.6'!N23+'4.7'!N23+'4.8'!N23+'4.9'!N23+'4.10'!N23</f>
        <v>0</v>
      </c>
      <c r="O23" s="277">
        <f>M23+M24+M25</f>
        <v>-308680.23</v>
      </c>
      <c r="P23" s="277"/>
      <c r="Q23" s="277">
        <f>C23+E23-O23</f>
        <v>331687.23</v>
      </c>
      <c r="R23" s="277"/>
      <c r="S23" s="313">
        <f>'4.10'!S23</f>
        <v>0</v>
      </c>
      <c r="T23" s="313">
        <f>'4.10'!T23</f>
        <v>0</v>
      </c>
      <c r="U23" s="277">
        <f>S23-Q23</f>
        <v>-331687.23</v>
      </c>
      <c r="V23" s="277">
        <f>'4.10'!U23-'4.1'!U23</f>
        <v>-343032.8</v>
      </c>
      <c r="W23" s="313">
        <f>'4.10'!W24</f>
        <v>0</v>
      </c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236</v>
      </c>
      <c r="AN23" s="141" t="s">
        <v>237</v>
      </c>
      <c r="AO23" s="28" t="s">
        <v>161</v>
      </c>
      <c r="AP23" s="28" t="s">
        <v>238</v>
      </c>
      <c r="AQ23" s="28" t="s">
        <v>239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/>
      <c r="D24" s="277"/>
      <c r="E24" s="313"/>
      <c r="F24" s="313"/>
      <c r="G24" s="46" t="s">
        <v>137</v>
      </c>
      <c r="H24" s="58">
        <f>'4.1'!H24</f>
        <v>138117.72</v>
      </c>
      <c r="I24" s="76"/>
      <c r="J24" s="49"/>
      <c r="K24" s="32">
        <f>'4.10'!K24</f>
        <v>0</v>
      </c>
      <c r="L24" s="32">
        <f>'4.1'!L24+'4.2'!L24+'4.3'!L24+'4.4'!L24+'4.5'!L24+'4.6'!L24+'4.7'!L24+'4.8'!L24+'4.9'!L24+'4.10'!L24</f>
        <v>0</v>
      </c>
      <c r="M24" s="277">
        <f>'4.1'!M24+'4.2'!M24+'4.3'!M24+'4.4'!M24+'4.5'!M24+'4.6'!M24+'4.7'!M24+'4.8'!M24+'4.9'!M24+'4.10'!M24</f>
        <v>-138117.72</v>
      </c>
      <c r="N24" s="277">
        <f>'4.1'!N24+'4.2'!N24+'4.3'!N24+'4.4'!N24+'4.5'!N24+'4.6'!N24+'4.7'!N24+'4.8'!N24+'4.9'!N24+'4.10'!N24</f>
        <v>0</v>
      </c>
      <c r="O24" s="277"/>
      <c r="P24" s="277"/>
      <c r="Q24" s="277"/>
      <c r="R24" s="277"/>
      <c r="S24" s="313">
        <f>'4.10'!S24</f>
        <v>0</v>
      </c>
      <c r="T24" s="313">
        <f>'4.10'!T24</f>
        <v>0</v>
      </c>
      <c r="U24" s="277"/>
      <c r="V24" s="277">
        <f>'4.10'!U24-'4.1'!U24</f>
        <v>0</v>
      </c>
      <c r="W24" s="313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'4.1'!AM24</f>
        <v>0</v>
      </c>
      <c r="AN24" s="28"/>
      <c r="AO24" s="71">
        <f>'4.1'!AO24+'4.2'!AO24+'4.3'!AO24+'4.4'!AO24+'4.5'!AO24+'4.6'!AO24+'4.7'!AO24+'4.8'!AO24+'4.9'!AO24+'4.10'!AO24</f>
        <v>0</v>
      </c>
      <c r="AP24" s="71">
        <f>'4.1'!AP24+'4.2'!AP24+'4.3'!AP24+'4.4'!AP24+'4.5'!AP24+'4.6'!AP24+'4.7'!AP24+'4.8'!AP24+'4.9'!AP24+'4.10'!AP24</f>
        <v>0</v>
      </c>
      <c r="AQ24" s="53">
        <f>AM24+AN24+AO24-AP24</f>
        <v>0</v>
      </c>
      <c r="AR24" s="71">
        <f>'4.10'!AR24</f>
        <v>0</v>
      </c>
      <c r="AS24" s="155">
        <f>ROUND(AR24-AQ24,2)</f>
        <v>0</v>
      </c>
    </row>
    <row r="25" spans="1:45" ht="18" customHeight="1">
      <c r="A25" s="289"/>
      <c r="B25" s="293"/>
      <c r="C25" s="277"/>
      <c r="D25" s="277"/>
      <c r="E25" s="313"/>
      <c r="F25" s="313"/>
      <c r="G25" s="46" t="s">
        <v>166</v>
      </c>
      <c r="H25" s="58">
        <f>'4.1'!H25</f>
        <v>111180</v>
      </c>
      <c r="I25" s="76"/>
      <c r="J25" s="49"/>
      <c r="K25" s="32">
        <f>'4.10'!K25</f>
        <v>0</v>
      </c>
      <c r="L25" s="32">
        <f>'4.1'!L25+'4.2'!L25+'4.3'!L25+'4.4'!L25+'4.5'!L25+'4.6'!L25+'4.7'!L25+'4.8'!L25+'4.9'!L25+'4.10'!L25</f>
        <v>0</v>
      </c>
      <c r="M25" s="277">
        <f>'4.1'!M25+'4.2'!M25+'4.3'!M25+'4.4'!M25+'4.5'!M25+'4.6'!M25+'4.7'!M25+'4.8'!M25+'4.9'!M25+'4.10'!M25</f>
        <v>-111180</v>
      </c>
      <c r="N25" s="277">
        <f>'4.1'!N25+'4.2'!N25+'4.3'!N25+'4.4'!N25+'4.5'!N25+'4.6'!N25+'4.7'!N25+'4.8'!N25+'4.9'!N25+'4.10'!N25</f>
        <v>0</v>
      </c>
      <c r="O25" s="277"/>
      <c r="P25" s="277"/>
      <c r="Q25" s="277"/>
      <c r="R25" s="277"/>
      <c r="S25" s="313">
        <f>'4.10'!S25</f>
        <v>0</v>
      </c>
      <c r="T25" s="313">
        <f>'4.10'!T25</f>
        <v>0</v>
      </c>
      <c r="U25" s="277"/>
      <c r="V25" s="277">
        <f>'4.10'!U25-'4.1'!U25</f>
        <v>0</v>
      </c>
      <c r="W25" s="313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240</v>
      </c>
      <c r="AN25" s="141" t="s">
        <v>241</v>
      </c>
      <c r="AO25" s="28" t="s">
        <v>169</v>
      </c>
      <c r="AP25" s="28" t="s">
        <v>242</v>
      </c>
      <c r="AQ25" s="28" t="s">
        <v>243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'4.1'!C26</f>
        <v>9602.6</v>
      </c>
      <c r="D26" s="277">
        <f>'4.10'!D26</f>
        <v>0</v>
      </c>
      <c r="E26" s="440">
        <f>'4.1'!E26+'4.2'!E26+'4.3'!E26+'4.4'!E26+'4.5'!E26+'4.6'!E26+'4.7'!E26+'4.8'!E26+'4.9'!E26+'4.10'!E26</f>
        <v>0</v>
      </c>
      <c r="F26" s="441">
        <f>'4.1'!F26+'4.2'!F26+'4.3'!F26+'4.4'!F26+'4.5'!F26+'4.6'!F26+'4.7'!F26+'4.8'!F26+'4.9'!F26+'4.10'!F26</f>
        <v>0</v>
      </c>
      <c r="G26" s="28" t="s">
        <v>175</v>
      </c>
      <c r="H26" s="58">
        <f>'4.1'!H26</f>
        <v>11601.92</v>
      </c>
      <c r="I26" s="76"/>
      <c r="J26" s="49"/>
      <c r="K26" s="32">
        <f>'4.10'!K26</f>
        <v>0</v>
      </c>
      <c r="L26" s="32">
        <f>'4.1'!L26+'4.2'!L26+'4.3'!L26+'4.4'!L26+'4.5'!L26+'4.6'!L26+'4.7'!L26+'4.8'!L26+'4.9'!L26+'4.10'!L26</f>
        <v>0</v>
      </c>
      <c r="M26" s="277">
        <f>'4.1'!M26+'4.2'!M26+'4.3'!M26+'4.4'!M26+'4.5'!M26+'4.6'!M26+'4.7'!M26+'4.8'!M26+'4.9'!M26+'4.10'!M26</f>
        <v>-11601.92</v>
      </c>
      <c r="N26" s="277">
        <f>'4.1'!N26+'4.2'!N26+'4.3'!N26+'4.4'!N26+'4.5'!N26+'4.6'!N26+'4.7'!N26+'4.8'!N26+'4.9'!N26+'4.10'!N26</f>
        <v>0</v>
      </c>
      <c r="O26" s="277">
        <f>M26</f>
        <v>-11601.92</v>
      </c>
      <c r="P26" s="277"/>
      <c r="Q26" s="277">
        <f>C26+E26-O26</f>
        <v>21204.52</v>
      </c>
      <c r="R26" s="277"/>
      <c r="S26" s="313">
        <f>'4.10'!S26</f>
        <v>0</v>
      </c>
      <c r="T26" s="313">
        <f>'4.10'!T26</f>
        <v>0</v>
      </c>
      <c r="U26" s="53">
        <f>S26-Q26</f>
        <v>-21204.52</v>
      </c>
      <c r="V26" s="53">
        <f>'4.10'!U26-'4.1'!U26</f>
        <v>-23943.54</v>
      </c>
      <c r="W26" s="32">
        <f>'4.10'!W26</f>
        <v>0</v>
      </c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'4.1'!AM26</f>
        <v>0</v>
      </c>
      <c r="AN26" s="110"/>
      <c r="AO26" s="157">
        <f>'4.1'!AO26+'4.2'!AO26+'4.3'!AO26+'4.4'!AO26+'4.5'!AO26+'4.6'!AO26+'4.7'!AO26+'4.8'!AO26+'4.9'!AO26+'4.10'!AO26</f>
        <v>0</v>
      </c>
      <c r="AP26" s="157">
        <f>'4.1'!AP26+'4.2'!AP26+'4.3'!AP26+'4.4'!AP26+'4.5'!AP26+'4.6'!AP26+'4.7'!AP26+'4.8'!AP26+'4.9'!AP26+'4.10'!AP26</f>
        <v>0</v>
      </c>
      <c r="AQ26" s="147">
        <f>AM26+AN26+AO26-AP26</f>
        <v>0</v>
      </c>
      <c r="AR26" s="152">
        <f>'4.10'!AR26</f>
        <v>0</v>
      </c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AO1:AS2"/>
    <mergeCell ref="A1:AN2"/>
    <mergeCell ref="C17:D18"/>
    <mergeCell ref="E17:F18"/>
    <mergeCell ref="Q17:R18"/>
    <mergeCell ref="S17:T18"/>
    <mergeCell ref="X19:AL22"/>
    <mergeCell ref="AB10:AF14"/>
    <mergeCell ref="C19:D22"/>
    <mergeCell ref="E19:F22"/>
    <mergeCell ref="O19:P22"/>
    <mergeCell ref="Q19:R22"/>
    <mergeCell ref="S19:T22"/>
    <mergeCell ref="X17:AL18"/>
    <mergeCell ref="A15:AL16"/>
    <mergeCell ref="A3:B5"/>
    <mergeCell ref="E10:F14"/>
    <mergeCell ref="X23:AL25"/>
    <mergeCell ref="A12:B14"/>
    <mergeCell ref="V10:W13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74" priority="1" operator="notEqual">
      <formula>0</formula>
    </cfRule>
  </conditionalFormatting>
  <conditionalFormatting sqref="W14">
    <cfRule type="cellIs" dxfId="73" priority="2" operator="notEqual">
      <formula>0</formula>
    </cfRule>
  </conditionalFormatting>
  <conditionalFormatting sqref="AS14 AS16 AS18 AS20 AS22 AS24 AS26 AS12 K11 AS6 AS8 AS10 AA13">
    <cfRule type="cellIs" dxfId="72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'4.10'!AO1:AS2+1</f>
        <v>45758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'4.10'!K6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'4.10'!AK6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'4.10'!K7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'4.10'!K8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'4.10'!AQ8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'4.10'!K9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'4.10'!P9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'4.10'!U9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'4.10'!Z9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'4.10'!AF9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'4.10'!AK9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'4.10'!AK12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'4.10'!AQ12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'4.10'!AQ14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'4.10'!AQ16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'4.10'!AQ18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'4.10'!Q19</f>
        <v>779060.67</v>
      </c>
      <c r="D19" s="277"/>
      <c r="E19" s="267"/>
      <c r="F19" s="267"/>
      <c r="G19" s="46" t="s">
        <v>139</v>
      </c>
      <c r="H19" s="58">
        <f>'4.10'!K19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U19-'4.10'!U19:U22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'4.10'!Q20</f>
        <v>0</v>
      </c>
      <c r="D20" s="277"/>
      <c r="E20" s="267"/>
      <c r="F20" s="267"/>
      <c r="G20" s="46" t="s">
        <v>147</v>
      </c>
      <c r="H20" s="58">
        <f>'4.10'!K20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'4.10'!AQ20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'4.10'!Q21</f>
        <v>0</v>
      </c>
      <c r="D21" s="277"/>
      <c r="E21" s="267"/>
      <c r="F21" s="267"/>
      <c r="G21" s="46" t="s">
        <v>148</v>
      </c>
      <c r="H21" s="58">
        <f>'4.10'!K21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'4.10'!Q22</f>
        <v>0</v>
      </c>
      <c r="D22" s="277"/>
      <c r="E22" s="267"/>
      <c r="F22" s="267"/>
      <c r="G22" s="46" t="s">
        <v>156</v>
      </c>
      <c r="H22" s="58">
        <f>'4.10'!K22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'4.10'!AQ22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'4.10'!Q23</f>
        <v>345566.13</v>
      </c>
      <c r="D23" s="277"/>
      <c r="E23" s="267"/>
      <c r="F23" s="267"/>
      <c r="G23" s="46" t="s">
        <v>157</v>
      </c>
      <c r="H23" s="58">
        <f>'4.10'!K23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U23-'4.10'!U23:U25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'4.10'!Q24</f>
        <v>0</v>
      </c>
      <c r="D24" s="277"/>
      <c r="E24" s="267"/>
      <c r="F24" s="267"/>
      <c r="G24" s="46" t="s">
        <v>137</v>
      </c>
      <c r="H24" s="58">
        <f>'4.10'!K24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'4.10'!AQ24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'4.10'!Q25</f>
        <v>0</v>
      </c>
      <c r="D25" s="277"/>
      <c r="E25" s="267"/>
      <c r="F25" s="267"/>
      <c r="G25" s="46" t="s">
        <v>166</v>
      </c>
      <c r="H25" s="58">
        <f>'4.10'!K25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'4.10'!Q26</f>
        <v>21204.52</v>
      </c>
      <c r="D26" s="277"/>
      <c r="E26" s="278"/>
      <c r="F26" s="279"/>
      <c r="G26" s="28" t="s">
        <v>175</v>
      </c>
      <c r="H26" s="58">
        <f>'4.10'!K26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U26-'4.10'!U26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'4.10'!AQ26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71" priority="1" operator="notEqual">
      <formula>0</formula>
    </cfRule>
  </conditionalFormatting>
  <conditionalFormatting sqref="W14">
    <cfRule type="cellIs" dxfId="70" priority="2" operator="notEqual">
      <formula>0</formula>
    </cfRule>
  </conditionalFormatting>
  <conditionalFormatting sqref="AS14 AS16 AS18 AS20 AS22 AS24 AS26 AS12 K11 AS6 AS8 AS10 AA13">
    <cfRule type="cellIs" dxfId="69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9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'4.11'!AO1:AS2+1</f>
        <v>45759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'4.11'!K6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'4.11'!AK6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'4.11'!K7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'4.11'!K8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'4.11'!AQ8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'4.11'!K9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'4.11'!P9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'4.11'!U9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'4.11'!Z9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'4.11'!AF9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'4.11'!AK9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'4.11'!AK12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'4.11'!AQ12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244</v>
      </c>
      <c r="AN13" s="131" t="s">
        <v>96</v>
      </c>
      <c r="AO13" s="131" t="s">
        <v>245</v>
      </c>
      <c r="AP13" s="131" t="s">
        <v>246</v>
      </c>
      <c r="AQ13" s="131" t="s">
        <v>247</v>
      </c>
      <c r="AR13" s="68" t="s">
        <v>248</v>
      </c>
      <c r="AS13" s="69" t="s">
        <v>249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'4.11'!AQ14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'4.11'!AQ16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'4.11'!AQ18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'4.11'!Q19</f>
        <v>779060.67</v>
      </c>
      <c r="D19" s="277"/>
      <c r="E19" s="267"/>
      <c r="F19" s="267"/>
      <c r="G19" s="46" t="s">
        <v>139</v>
      </c>
      <c r="H19" s="58">
        <f>'4.11'!K19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U19-'4.11'!U19:U22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'4.11'!Q20</f>
        <v>0</v>
      </c>
      <c r="D20" s="277"/>
      <c r="E20" s="267"/>
      <c r="F20" s="267"/>
      <c r="G20" s="46" t="s">
        <v>147</v>
      </c>
      <c r="H20" s="58">
        <f>'4.11'!K20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'4.11'!AQ20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'4.11'!Q21</f>
        <v>0</v>
      </c>
      <c r="D21" s="277"/>
      <c r="E21" s="267"/>
      <c r="F21" s="267"/>
      <c r="G21" s="46" t="s">
        <v>148</v>
      </c>
      <c r="H21" s="58">
        <f>'4.11'!K21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'4.11'!Q22</f>
        <v>0</v>
      </c>
      <c r="D22" s="277"/>
      <c r="E22" s="267"/>
      <c r="F22" s="267"/>
      <c r="G22" s="46" t="s">
        <v>156</v>
      </c>
      <c r="H22" s="58">
        <f>'4.11'!K22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'4.11'!AQ22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'4.11'!Q23</f>
        <v>345566.13</v>
      </c>
      <c r="D23" s="277"/>
      <c r="E23" s="267"/>
      <c r="F23" s="267"/>
      <c r="G23" s="46" t="s">
        <v>157</v>
      </c>
      <c r="H23" s="58">
        <f>'4.11'!K23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U23-'4.11'!U23:U25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'4.11'!Q24</f>
        <v>0</v>
      </c>
      <c r="D24" s="277"/>
      <c r="E24" s="267"/>
      <c r="F24" s="267"/>
      <c r="G24" s="46" t="s">
        <v>137</v>
      </c>
      <c r="H24" s="58">
        <f>'4.11'!K24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'4.11'!AQ24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'4.11'!Q25</f>
        <v>0</v>
      </c>
      <c r="D25" s="277"/>
      <c r="E25" s="267"/>
      <c r="F25" s="267"/>
      <c r="G25" s="46" t="s">
        <v>166</v>
      </c>
      <c r="H25" s="58">
        <f>'4.11'!K25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'4.11'!Q26</f>
        <v>21204.52</v>
      </c>
      <c r="D26" s="277"/>
      <c r="E26" s="278"/>
      <c r="F26" s="279"/>
      <c r="G26" s="28" t="s">
        <v>175</v>
      </c>
      <c r="H26" s="58">
        <f>'4.11'!K26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U26-'4.11'!U26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'4.11'!AQ26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9" spans="1:45">
      <c r="N29" s="27" t="s">
        <v>176</v>
      </c>
      <c r="O29" s="27" t="s">
        <v>176</v>
      </c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68" priority="1" operator="notEqual">
      <formula>0</formula>
    </cfRule>
  </conditionalFormatting>
  <conditionalFormatting sqref="W14">
    <cfRule type="cellIs" dxfId="67" priority="2" operator="notEqual">
      <formula>0</formula>
    </cfRule>
  </conditionalFormatting>
  <conditionalFormatting sqref="AS14 AS16 AS18 AS20 AS22 AS24 AS26 AS12 K11 AS6 AS8 AS10 AA13">
    <cfRule type="cellIs" dxfId="66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'4.12'!AO1:AS2+1</f>
        <v>45760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'4.12'!K6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'4.12'!AK6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'4.12'!K7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'4.12'!K8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'4.12'!AQ8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'4.12'!K9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'4.12'!P9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'4.12'!U9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'4.12'!Z9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'4.12'!AF9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'4.12'!AK9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'4.12'!AK12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'4.12'!AQ12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'4.12'!AQ14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'4.12'!AQ16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'4.12'!AQ18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'4.12'!Q19</f>
        <v>779060.67</v>
      </c>
      <c r="D19" s="277"/>
      <c r="E19" s="267"/>
      <c r="F19" s="267"/>
      <c r="G19" s="46" t="s">
        <v>139</v>
      </c>
      <c r="H19" s="58">
        <f>'4.12'!K19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U19-'4.12'!U19:U22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'4.12'!Q20</f>
        <v>0</v>
      </c>
      <c r="D20" s="277"/>
      <c r="E20" s="267"/>
      <c r="F20" s="267"/>
      <c r="G20" s="46" t="s">
        <v>147</v>
      </c>
      <c r="H20" s="58">
        <f>'4.12'!K20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'4.12'!AQ20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'4.12'!Q21</f>
        <v>0</v>
      </c>
      <c r="D21" s="277"/>
      <c r="E21" s="267"/>
      <c r="F21" s="267"/>
      <c r="G21" s="46" t="s">
        <v>148</v>
      </c>
      <c r="H21" s="58">
        <f>'4.12'!K21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'4.12'!Q22</f>
        <v>0</v>
      </c>
      <c r="D22" s="277"/>
      <c r="E22" s="267"/>
      <c r="F22" s="267"/>
      <c r="G22" s="46" t="s">
        <v>156</v>
      </c>
      <c r="H22" s="58">
        <f>'4.12'!K22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'4.12'!AQ22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'4.12'!Q23</f>
        <v>345566.13</v>
      </c>
      <c r="D23" s="277"/>
      <c r="E23" s="267"/>
      <c r="F23" s="267"/>
      <c r="G23" s="46" t="s">
        <v>157</v>
      </c>
      <c r="H23" s="58">
        <f>'4.12'!K23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U23-'4.12'!U23:U25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'4.12'!Q24</f>
        <v>0</v>
      </c>
      <c r="D24" s="277"/>
      <c r="E24" s="267"/>
      <c r="F24" s="267"/>
      <c r="G24" s="46" t="s">
        <v>137</v>
      </c>
      <c r="H24" s="58">
        <f>'4.12'!K24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'4.12'!AQ24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'4.12'!Q25</f>
        <v>0</v>
      </c>
      <c r="D25" s="277"/>
      <c r="E25" s="267"/>
      <c r="F25" s="267"/>
      <c r="G25" s="46" t="s">
        <v>166</v>
      </c>
      <c r="H25" s="58">
        <f>'4.12'!K25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'4.12'!Q26</f>
        <v>21204.52</v>
      </c>
      <c r="D26" s="277"/>
      <c r="E26" s="278"/>
      <c r="F26" s="279"/>
      <c r="G26" s="28" t="s">
        <v>175</v>
      </c>
      <c r="H26" s="58">
        <f>'4.12'!K26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U26-'4.12'!U26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'4.12'!AQ26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W14">
    <cfRule type="cellIs" dxfId="65" priority="2" operator="notEqual">
      <formula>0</formula>
    </cfRule>
  </conditionalFormatting>
  <conditionalFormatting sqref="Y35">
    <cfRule type="cellIs" dxfId="64" priority="1" operator="notEqual">
      <formula>0</formula>
    </cfRule>
  </conditionalFormatting>
  <conditionalFormatting sqref="AS14 AS16 AS18 AS20 AS22 AS24 AS26 AS12 K11 AS6 AS8 AS10 AA13">
    <cfRule type="cellIs" dxfId="63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'4.13'!AO1:AS2+1</f>
        <v>45761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'4.13'!K6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'4.13'!AK6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'4.13'!K7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'4.13'!K8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'4.13'!AQ8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'4.13'!K9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'4.13'!P9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'4.13'!U9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'4.13'!Z9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'4.13'!AF9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'4.13'!AK9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'4.13'!AK12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'4.13'!AQ12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'4.13'!AQ14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'4.13'!AQ16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'4.13'!AQ18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'4.13'!Q19</f>
        <v>779060.67</v>
      </c>
      <c r="D19" s="277"/>
      <c r="E19" s="267"/>
      <c r="F19" s="267"/>
      <c r="G19" s="46" t="s">
        <v>139</v>
      </c>
      <c r="H19" s="58">
        <f>'4.13'!K19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U19-'4.13'!U19:U22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'4.13'!Q20</f>
        <v>0</v>
      </c>
      <c r="D20" s="277"/>
      <c r="E20" s="267"/>
      <c r="F20" s="267"/>
      <c r="G20" s="46" t="s">
        <v>147</v>
      </c>
      <c r="H20" s="58">
        <f>'4.13'!K20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'4.13'!AQ20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'4.13'!Q21</f>
        <v>0</v>
      </c>
      <c r="D21" s="277"/>
      <c r="E21" s="267"/>
      <c r="F21" s="267"/>
      <c r="G21" s="46" t="s">
        <v>148</v>
      </c>
      <c r="H21" s="58">
        <f>'4.13'!K21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'4.13'!Q22</f>
        <v>0</v>
      </c>
      <c r="D22" s="277"/>
      <c r="E22" s="267"/>
      <c r="F22" s="267"/>
      <c r="G22" s="46" t="s">
        <v>156</v>
      </c>
      <c r="H22" s="58">
        <f>'4.13'!K22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'4.13'!AQ22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'4.13'!Q23</f>
        <v>345566.13</v>
      </c>
      <c r="D23" s="277"/>
      <c r="E23" s="267"/>
      <c r="F23" s="267"/>
      <c r="G23" s="46" t="s">
        <v>157</v>
      </c>
      <c r="H23" s="58">
        <f>'4.13'!K23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U23-'4.13'!U23:U25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'4.13'!Q24</f>
        <v>0</v>
      </c>
      <c r="D24" s="277"/>
      <c r="E24" s="267"/>
      <c r="F24" s="267"/>
      <c r="G24" s="46" t="s">
        <v>137</v>
      </c>
      <c r="H24" s="58">
        <f>'4.13'!K24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'4.13'!AQ24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'4.13'!Q25</f>
        <v>0</v>
      </c>
      <c r="D25" s="277"/>
      <c r="E25" s="267"/>
      <c r="F25" s="267"/>
      <c r="G25" s="46" t="s">
        <v>166</v>
      </c>
      <c r="H25" s="58">
        <f>'4.13'!K25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'4.13'!Q26</f>
        <v>21204.52</v>
      </c>
      <c r="D26" s="277"/>
      <c r="E26" s="278"/>
      <c r="F26" s="279"/>
      <c r="G26" s="28" t="s">
        <v>175</v>
      </c>
      <c r="H26" s="58">
        <f>'4.13'!K26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U26-'4.13'!U26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'4.13'!AQ26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62" priority="1" operator="notEqual">
      <formula>0</formula>
    </cfRule>
  </conditionalFormatting>
  <conditionalFormatting sqref="W14">
    <cfRule type="cellIs" dxfId="61" priority="2" operator="notEqual">
      <formula>0</formula>
    </cfRule>
  </conditionalFormatting>
  <conditionalFormatting sqref="AS14 AS16 AS18 AS20 AS22 AS24 AS26 AS12 K11 AS6 AS8 AS10 AA13">
    <cfRule type="cellIs" dxfId="60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'4.14'!AO1:AS2+1</f>
        <v>45762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'4.14'!K6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'4.14'!AK6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'4.14'!K7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'4.14'!K8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'4.14'!AQ8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'4.14'!K9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'4.14'!P9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'4.14'!U9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'4.14'!Z9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'4.14'!AF9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'4.14'!AK9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'4.14'!AK12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'4.14'!AQ12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'4.14'!AQ14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'4.14'!AQ16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'4.14'!AQ18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'4.14'!Q19</f>
        <v>779060.67</v>
      </c>
      <c r="D19" s="277"/>
      <c r="E19" s="267"/>
      <c r="F19" s="267"/>
      <c r="G19" s="46" t="s">
        <v>139</v>
      </c>
      <c r="H19" s="58">
        <f>'4.14'!K19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U19-'4.14'!U19:U22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'4.14'!Q20</f>
        <v>0</v>
      </c>
      <c r="D20" s="277"/>
      <c r="E20" s="267"/>
      <c r="F20" s="267"/>
      <c r="G20" s="46" t="s">
        <v>147</v>
      </c>
      <c r="H20" s="58">
        <f>'4.14'!K20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'4.14'!AQ20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'4.14'!Q21</f>
        <v>0</v>
      </c>
      <c r="D21" s="277"/>
      <c r="E21" s="267"/>
      <c r="F21" s="267"/>
      <c r="G21" s="46" t="s">
        <v>148</v>
      </c>
      <c r="H21" s="58">
        <f>'4.14'!K21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'4.14'!Q22</f>
        <v>0</v>
      </c>
      <c r="D22" s="277"/>
      <c r="E22" s="267"/>
      <c r="F22" s="267"/>
      <c r="G22" s="46" t="s">
        <v>156</v>
      </c>
      <c r="H22" s="58">
        <f>'4.14'!K22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'4.14'!AQ22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'4.14'!Q23</f>
        <v>345566.13</v>
      </c>
      <c r="D23" s="277"/>
      <c r="E23" s="267"/>
      <c r="F23" s="267"/>
      <c r="G23" s="46" t="s">
        <v>157</v>
      </c>
      <c r="H23" s="58">
        <f>'4.14'!K23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U23-'4.14'!U23:U25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'4.14'!Q24</f>
        <v>0</v>
      </c>
      <c r="D24" s="277"/>
      <c r="E24" s="267"/>
      <c r="F24" s="267"/>
      <c r="G24" s="46" t="s">
        <v>137</v>
      </c>
      <c r="H24" s="58">
        <f>'4.14'!K24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'4.14'!AQ24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'4.14'!Q25</f>
        <v>0</v>
      </c>
      <c r="D25" s="277"/>
      <c r="E25" s="267"/>
      <c r="F25" s="267"/>
      <c r="G25" s="46" t="s">
        <v>166</v>
      </c>
      <c r="H25" s="58">
        <f>'4.14'!K25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'4.14'!Q26</f>
        <v>21204.52</v>
      </c>
      <c r="D26" s="277"/>
      <c r="E26" s="278"/>
      <c r="F26" s="279"/>
      <c r="G26" s="28" t="s">
        <v>175</v>
      </c>
      <c r="H26" s="58">
        <f>'4.14'!K26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U26-'4.14'!U26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'4.14'!AQ26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W14">
    <cfRule type="cellIs" dxfId="59" priority="2" operator="notEqual">
      <formula>0</formula>
    </cfRule>
  </conditionalFormatting>
  <conditionalFormatting sqref="Y35">
    <cfRule type="cellIs" dxfId="58" priority="1" operator="notEqual">
      <formula>0</formula>
    </cfRule>
  </conditionalFormatting>
  <conditionalFormatting sqref="AS14 AS16 AS18 AS20 AS22 AS24 AS26 AS12 K11 AS6 AS8 AS10 AA13">
    <cfRule type="cellIs" dxfId="57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'4.15'!AO1:AS2+1</f>
        <v>45763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'4.15'!K6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'4.15'!AK6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'4.15'!K7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'4.15'!K8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'4.15'!AQ8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'4.15'!K9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'4.15'!P9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'4.15'!U9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'4.15'!Z9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'4.15'!AF9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'4.15'!AK9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'4.15'!AK12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'4.15'!AQ12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'4.15'!AQ14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'4.15'!AQ16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'4.15'!AQ18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'4.15'!Q19</f>
        <v>779060.67</v>
      </c>
      <c r="D19" s="277"/>
      <c r="E19" s="267"/>
      <c r="F19" s="267"/>
      <c r="G19" s="46" t="s">
        <v>139</v>
      </c>
      <c r="H19" s="58">
        <f>'4.15'!K19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U19-'4.15'!U19:U22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'4.15'!Q20</f>
        <v>0</v>
      </c>
      <c r="D20" s="277"/>
      <c r="E20" s="267"/>
      <c r="F20" s="267"/>
      <c r="G20" s="46" t="s">
        <v>147</v>
      </c>
      <c r="H20" s="58">
        <f>'4.15'!K20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'4.15'!AQ20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'4.15'!Q21</f>
        <v>0</v>
      </c>
      <c r="D21" s="277"/>
      <c r="E21" s="267"/>
      <c r="F21" s="267"/>
      <c r="G21" s="46" t="s">
        <v>148</v>
      </c>
      <c r="H21" s="58">
        <f>'4.15'!K21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'4.15'!Q22</f>
        <v>0</v>
      </c>
      <c r="D22" s="277"/>
      <c r="E22" s="267"/>
      <c r="F22" s="267"/>
      <c r="G22" s="46" t="s">
        <v>156</v>
      </c>
      <c r="H22" s="58">
        <f>'4.15'!K22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'4.15'!AQ22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'4.15'!Q23</f>
        <v>345566.13</v>
      </c>
      <c r="D23" s="277"/>
      <c r="E23" s="267"/>
      <c r="F23" s="267"/>
      <c r="G23" s="46" t="s">
        <v>157</v>
      </c>
      <c r="H23" s="58">
        <f>'4.15'!K23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U23-'4.15'!U23:U25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'4.15'!Q24</f>
        <v>0</v>
      </c>
      <c r="D24" s="277"/>
      <c r="E24" s="267"/>
      <c r="F24" s="267"/>
      <c r="G24" s="46" t="s">
        <v>137</v>
      </c>
      <c r="H24" s="58">
        <f>'4.15'!K24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'4.15'!AQ24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'4.15'!Q25</f>
        <v>0</v>
      </c>
      <c r="D25" s="277"/>
      <c r="E25" s="267"/>
      <c r="F25" s="267"/>
      <c r="G25" s="46" t="s">
        <v>166</v>
      </c>
      <c r="H25" s="58">
        <f>'4.15'!K25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'4.15'!Q26</f>
        <v>21204.52</v>
      </c>
      <c r="D26" s="277"/>
      <c r="E26" s="278"/>
      <c r="F26" s="279"/>
      <c r="G26" s="28" t="s">
        <v>175</v>
      </c>
      <c r="H26" s="58">
        <f>'4.15'!K26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U26-'4.15'!U26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'4.15'!AQ26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W14">
    <cfRule type="cellIs" dxfId="56" priority="2" operator="notEqual">
      <formula>0</formula>
    </cfRule>
  </conditionalFormatting>
  <conditionalFormatting sqref="Y35">
    <cfRule type="cellIs" dxfId="55" priority="1" operator="notEqual">
      <formula>0</formula>
    </cfRule>
  </conditionalFormatting>
  <conditionalFormatting sqref="AS14 AS16 AS18 AS20 AS22 AS24 AS26 AS12 K11 AS6 AS8 AS10 AA13">
    <cfRule type="cellIs" dxfId="54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'4.16'!AO1:AS2+1</f>
        <v>45764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'4.16'!K6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'4.16'!AK6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'4.16'!K7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'4.16'!K8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'4.16'!AQ8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'4.16'!K9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'4.16'!P9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'4.16'!U9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'4.16'!Z9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'4.16'!AF9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'4.16'!AK9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'4.16'!AK12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'4.16'!AQ12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'4.16'!AQ14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'4.16'!AQ16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'4.16'!AQ18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'4.16'!Q19</f>
        <v>779060.67</v>
      </c>
      <c r="D19" s="277"/>
      <c r="E19" s="267"/>
      <c r="F19" s="267"/>
      <c r="G19" s="46" t="s">
        <v>139</v>
      </c>
      <c r="H19" s="58">
        <f>'4.16'!K19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U19-'4.16'!U19:U22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'4.16'!Q20</f>
        <v>0</v>
      </c>
      <c r="D20" s="277"/>
      <c r="E20" s="267"/>
      <c r="F20" s="267"/>
      <c r="G20" s="46" t="s">
        <v>147</v>
      </c>
      <c r="H20" s="58">
        <f>'4.16'!K20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'4.16'!AQ20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'4.16'!Q21</f>
        <v>0</v>
      </c>
      <c r="D21" s="277"/>
      <c r="E21" s="267"/>
      <c r="F21" s="267"/>
      <c r="G21" s="46" t="s">
        <v>148</v>
      </c>
      <c r="H21" s="58">
        <f>'4.16'!K21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'4.16'!Q22</f>
        <v>0</v>
      </c>
      <c r="D22" s="277"/>
      <c r="E22" s="267"/>
      <c r="F22" s="267"/>
      <c r="G22" s="46" t="s">
        <v>156</v>
      </c>
      <c r="H22" s="58">
        <f>'4.16'!K22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'4.16'!AQ22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'4.16'!Q23</f>
        <v>345566.13</v>
      </c>
      <c r="D23" s="277"/>
      <c r="E23" s="267"/>
      <c r="F23" s="267"/>
      <c r="G23" s="46" t="s">
        <v>157</v>
      </c>
      <c r="H23" s="58">
        <f>'4.16'!K23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U23-'4.16'!U23:U25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'4.16'!Q24</f>
        <v>0</v>
      </c>
      <c r="D24" s="277"/>
      <c r="E24" s="267"/>
      <c r="F24" s="267"/>
      <c r="G24" s="46" t="s">
        <v>137</v>
      </c>
      <c r="H24" s="58">
        <f>'4.16'!K24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'4.16'!AQ24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'4.16'!Q25</f>
        <v>0</v>
      </c>
      <c r="D25" s="277"/>
      <c r="E25" s="267"/>
      <c r="F25" s="267"/>
      <c r="G25" s="46" t="s">
        <v>166</v>
      </c>
      <c r="H25" s="58">
        <f>'4.16'!K25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'4.16'!Q26</f>
        <v>21204.52</v>
      </c>
      <c r="D26" s="277"/>
      <c r="E26" s="278"/>
      <c r="F26" s="279"/>
      <c r="G26" s="28" t="s">
        <v>175</v>
      </c>
      <c r="H26" s="58">
        <f>'4.16'!K26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U26-'4.16'!U26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'4.16'!AQ26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53" priority="1" operator="notEqual">
      <formula>0</formula>
    </cfRule>
  </conditionalFormatting>
  <conditionalFormatting sqref="W14">
    <cfRule type="cellIs" dxfId="52" priority="2" operator="notEqual">
      <formula>0</formula>
    </cfRule>
  </conditionalFormatting>
  <conditionalFormatting sqref="AS14 AS16 AS18 AS20 AS22 AS24 AS26 AS12 K11 AS6 AS8 AS10 AA13">
    <cfRule type="cellIs" dxfId="51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'4.17'!AO1:AS2+1</f>
        <v>45765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'4.17'!K6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'4.17'!AK6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'4.17'!K7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'4.17'!K8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'4.17'!AQ8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'4.17'!K9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'4.17'!P9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'4.17'!U9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'4.17'!Z9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'4.17'!AF9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'4.17'!AK9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'4.17'!AK12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'4.17'!AQ12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'4.17'!AQ14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'4.17'!AQ16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'4.17'!AQ18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'4.17'!Q19</f>
        <v>779060.67</v>
      </c>
      <c r="D19" s="277"/>
      <c r="E19" s="267"/>
      <c r="F19" s="267"/>
      <c r="G19" s="46" t="s">
        <v>139</v>
      </c>
      <c r="H19" s="58">
        <f>'4.17'!K19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U19-'4.17'!U19:U22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'4.17'!Q20</f>
        <v>0</v>
      </c>
      <c r="D20" s="277"/>
      <c r="E20" s="267"/>
      <c r="F20" s="267"/>
      <c r="G20" s="46" t="s">
        <v>147</v>
      </c>
      <c r="H20" s="58">
        <f>'4.17'!K20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'4.17'!AQ20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'4.17'!Q21</f>
        <v>0</v>
      </c>
      <c r="D21" s="277"/>
      <c r="E21" s="267"/>
      <c r="F21" s="267"/>
      <c r="G21" s="46" t="s">
        <v>148</v>
      </c>
      <c r="H21" s="58">
        <f>'4.17'!K21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'4.17'!Q22</f>
        <v>0</v>
      </c>
      <c r="D22" s="277"/>
      <c r="E22" s="267"/>
      <c r="F22" s="267"/>
      <c r="G22" s="46" t="s">
        <v>156</v>
      </c>
      <c r="H22" s="58">
        <f>'4.17'!K22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'4.17'!AQ22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'4.17'!Q23</f>
        <v>345566.13</v>
      </c>
      <c r="D23" s="277"/>
      <c r="E23" s="267"/>
      <c r="F23" s="267"/>
      <c r="G23" s="46" t="s">
        <v>157</v>
      </c>
      <c r="H23" s="58">
        <f>'4.17'!K23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U23-'4.17'!U23:U25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'4.17'!Q24</f>
        <v>0</v>
      </c>
      <c r="D24" s="277"/>
      <c r="E24" s="267"/>
      <c r="F24" s="267"/>
      <c r="G24" s="46" t="s">
        <v>137</v>
      </c>
      <c r="H24" s="58">
        <f>'4.17'!K24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'4.17'!AQ24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'4.17'!Q25</f>
        <v>0</v>
      </c>
      <c r="D25" s="277"/>
      <c r="E25" s="267"/>
      <c r="F25" s="267"/>
      <c r="G25" s="46" t="s">
        <v>166</v>
      </c>
      <c r="H25" s="58">
        <f>'4.17'!K25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'4.17'!Q26</f>
        <v>21204.52</v>
      </c>
      <c r="D26" s="277"/>
      <c r="E26" s="278"/>
      <c r="F26" s="279"/>
      <c r="G26" s="28" t="s">
        <v>175</v>
      </c>
      <c r="H26" s="58">
        <f>'4.17'!K26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U26-'4.17'!U26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'4.17'!AQ26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50" priority="1" operator="notEqual">
      <formula>0</formula>
    </cfRule>
  </conditionalFormatting>
  <conditionalFormatting sqref="W14">
    <cfRule type="cellIs" dxfId="49" priority="2" operator="notEqual">
      <formula>0</formula>
    </cfRule>
  </conditionalFormatting>
  <conditionalFormatting sqref="AS14 AS16 AS18 AS20 AS22 AS24 AS26 AS12 K11 AS6 AS8 AS10 AA13">
    <cfRule type="cellIs" dxfId="48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'4.18'!AO1:AS2+1</f>
        <v>45766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'4.18'!K6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'4.18'!AK6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'4.18'!K7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'4.18'!K8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'4.18'!AQ8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'4.18'!K9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'4.18'!P9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'4.18'!U9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'4.18'!Z9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'4.18'!AF9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'4.18'!AK9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'4.18'!AK12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'4.18'!AQ12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'4.18'!AQ14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'4.18'!AQ16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tr">
        <f>'4.18'!Q17</f>
        <v>本期结存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>
        <f>'4.18'!Q18</f>
        <v>0</v>
      </c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'4.18'!AQ18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'4.18'!Q19</f>
        <v>779060.67</v>
      </c>
      <c r="D19" s="277"/>
      <c r="E19" s="267"/>
      <c r="F19" s="267"/>
      <c r="G19" s="46" t="s">
        <v>139</v>
      </c>
      <c r="H19" s="58">
        <f>'4.18'!K19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U19-'4.18'!U19:U22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'4.18'!Q20</f>
        <v>0</v>
      </c>
      <c r="D20" s="277"/>
      <c r="E20" s="267"/>
      <c r="F20" s="267"/>
      <c r="G20" s="46" t="s">
        <v>147</v>
      </c>
      <c r="H20" s="58">
        <f>'4.18'!K20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'4.18'!AQ20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'4.18'!Q21</f>
        <v>0</v>
      </c>
      <c r="D21" s="277"/>
      <c r="E21" s="267"/>
      <c r="F21" s="267"/>
      <c r="G21" s="46" t="s">
        <v>148</v>
      </c>
      <c r="H21" s="58">
        <f>'4.18'!K21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'4.18'!Q22</f>
        <v>0</v>
      </c>
      <c r="D22" s="277"/>
      <c r="E22" s="267"/>
      <c r="F22" s="267"/>
      <c r="G22" s="46" t="s">
        <v>156</v>
      </c>
      <c r="H22" s="58">
        <f>'4.18'!K22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'4.18'!AQ22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'4.18'!Q23</f>
        <v>345566.13</v>
      </c>
      <c r="D23" s="277"/>
      <c r="E23" s="267"/>
      <c r="F23" s="267"/>
      <c r="G23" s="46" t="s">
        <v>157</v>
      </c>
      <c r="H23" s="58">
        <f>'4.18'!K23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U23-'4.18'!U23:U25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'4.18'!Q24</f>
        <v>0</v>
      </c>
      <c r="D24" s="277"/>
      <c r="E24" s="267"/>
      <c r="F24" s="267"/>
      <c r="G24" s="46" t="s">
        <v>137</v>
      </c>
      <c r="H24" s="58">
        <f>'4.18'!K24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'4.18'!AQ24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'4.18'!Q25</f>
        <v>0</v>
      </c>
      <c r="D25" s="277"/>
      <c r="E25" s="267"/>
      <c r="F25" s="267"/>
      <c r="G25" s="46" t="s">
        <v>166</v>
      </c>
      <c r="H25" s="58">
        <f>'4.18'!K25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'4.18'!Q26</f>
        <v>21204.52</v>
      </c>
      <c r="D26" s="277"/>
      <c r="E26" s="278"/>
      <c r="F26" s="279"/>
      <c r="G26" s="28" t="s">
        <v>175</v>
      </c>
      <c r="H26" s="58">
        <f>'4.18'!K26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U26-'4.18'!U26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'4.18'!AQ26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47" priority="1" operator="notEqual">
      <formula>0</formula>
    </cfRule>
  </conditionalFormatting>
  <conditionalFormatting sqref="W14">
    <cfRule type="cellIs" dxfId="46" priority="2" operator="notEqual">
      <formula>0</formula>
    </cfRule>
  </conditionalFormatting>
  <conditionalFormatting sqref="AS14 AS16 AS18 AS20 AS22 AS24 AS26 AS12 K11 AS6 AS8 AS10 AA13">
    <cfRule type="cellIs" dxfId="45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topLeftCell="U1"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'4.19'!AO1:AS2+1</f>
        <v>45767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'4.19'!K6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'4.19'!AK6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'4.19'!K7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'4.19'!K8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'4.19'!AQ8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'4.19'!K9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'4.19'!P9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'4.19'!U9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'4.19'!Z9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'4.19'!AF9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'4.19'!AK9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'4.19'!AK12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'4.19'!AQ12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'4.19'!AQ14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'4.19'!AQ16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'4.19'!AQ18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'4.19'!Q19</f>
        <v>779060.67</v>
      </c>
      <c r="D19" s="277"/>
      <c r="E19" s="267"/>
      <c r="F19" s="267"/>
      <c r="G19" s="46" t="s">
        <v>139</v>
      </c>
      <c r="H19" s="58">
        <f>'4.19'!K19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U19-'4.19'!U19:U22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'4.19'!Q20</f>
        <v>0</v>
      </c>
      <c r="D20" s="277"/>
      <c r="E20" s="267"/>
      <c r="F20" s="267"/>
      <c r="G20" s="46" t="s">
        <v>147</v>
      </c>
      <c r="H20" s="58">
        <f>'4.19'!K20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'4.19'!AQ20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'4.19'!Q21</f>
        <v>0</v>
      </c>
      <c r="D21" s="277"/>
      <c r="E21" s="267"/>
      <c r="F21" s="267"/>
      <c r="G21" s="46" t="s">
        <v>148</v>
      </c>
      <c r="H21" s="58">
        <f>'4.19'!K21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'4.19'!Q22</f>
        <v>0</v>
      </c>
      <c r="D22" s="277"/>
      <c r="E22" s="267"/>
      <c r="F22" s="267"/>
      <c r="G22" s="46" t="s">
        <v>156</v>
      </c>
      <c r="H22" s="58">
        <f>'4.19'!K22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'4.19'!AQ22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'4.19'!Q23</f>
        <v>345566.13</v>
      </c>
      <c r="D23" s="277"/>
      <c r="E23" s="267"/>
      <c r="F23" s="267"/>
      <c r="G23" s="46" t="s">
        <v>157</v>
      </c>
      <c r="H23" s="58">
        <f>'4.19'!K23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U23-'4.19'!U23:U25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'4.19'!Q24</f>
        <v>0</v>
      </c>
      <c r="D24" s="277"/>
      <c r="E24" s="267"/>
      <c r="F24" s="267"/>
      <c r="G24" s="46" t="s">
        <v>137</v>
      </c>
      <c r="H24" s="58">
        <f>'4.19'!K24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'4.19'!AQ24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'4.19'!Q25</f>
        <v>0</v>
      </c>
      <c r="D25" s="277"/>
      <c r="E25" s="267"/>
      <c r="F25" s="267"/>
      <c r="G25" s="46" t="s">
        <v>166</v>
      </c>
      <c r="H25" s="58">
        <f>'4.19'!K25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'4.19'!Q26</f>
        <v>21204.52</v>
      </c>
      <c r="D26" s="277"/>
      <c r="E26" s="278"/>
      <c r="F26" s="279"/>
      <c r="G26" s="28" t="s">
        <v>175</v>
      </c>
      <c r="H26" s="58">
        <f>'4.19'!K26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U26-'4.19'!U26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'4.19'!AQ26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44" priority="1" operator="notEqual">
      <formula>0</formula>
    </cfRule>
  </conditionalFormatting>
  <conditionalFormatting sqref="W14">
    <cfRule type="cellIs" dxfId="43" priority="2" operator="notEqual">
      <formula>0</formula>
    </cfRule>
  </conditionalFormatting>
  <conditionalFormatting sqref="AS14 AS16 AS18 AS20 AS22 AS24 AS26 AS12 K11 AS6 AS8 AS10 AA13">
    <cfRule type="cellIs" dxfId="42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AS27"/>
  <sheetViews>
    <sheetView topLeftCell="R1"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400" t="s">
        <v>250</v>
      </c>
      <c r="AP1" s="400"/>
      <c r="AQ1" s="400"/>
      <c r="AR1" s="400"/>
      <c r="AS1" s="400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401"/>
      <c r="AP2" s="401"/>
      <c r="AQ2" s="401"/>
      <c r="AR2" s="401"/>
      <c r="AS2" s="401"/>
    </row>
    <row r="3" spans="1:45" ht="18" customHeight="1">
      <c r="A3" s="348"/>
      <c r="B3" s="349"/>
      <c r="C3" s="248" t="s">
        <v>199</v>
      </c>
      <c r="D3" s="249" t="s">
        <v>200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201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202</v>
      </c>
      <c r="L4" s="251" t="s">
        <v>201</v>
      </c>
      <c r="M4" s="301" t="s">
        <v>16</v>
      </c>
      <c r="N4" s="301" t="s">
        <v>17</v>
      </c>
      <c r="O4" s="301" t="s">
        <v>18</v>
      </c>
      <c r="P4" s="295" t="s">
        <v>202</v>
      </c>
      <c r="Q4" s="251" t="s">
        <v>201</v>
      </c>
      <c r="R4" s="301" t="s">
        <v>19</v>
      </c>
      <c r="S4" s="301" t="s">
        <v>20</v>
      </c>
      <c r="T4" s="301" t="s">
        <v>21</v>
      </c>
      <c r="U4" s="296" t="s">
        <v>202</v>
      </c>
      <c r="V4" s="251" t="s">
        <v>11</v>
      </c>
      <c r="W4" s="301" t="s">
        <v>203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201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204</v>
      </c>
      <c r="AN4" s="294" t="s">
        <v>205</v>
      </c>
      <c r="AO4" s="294" t="s">
        <v>32</v>
      </c>
      <c r="AP4" s="294" t="s">
        <v>206</v>
      </c>
      <c r="AQ4" s="294" t="s">
        <v>207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33">
        <f>'4.11'!D6+'4.12'!D6+'4.13'!D6+'4.14'!D6+'4.15'!D6+'4.16'!D6+'4.17'!D6+'4.18'!D6+'4.19'!D6+'4.20'!D6</f>
        <v>0</v>
      </c>
      <c r="E6" s="34">
        <f>'4.11'!E6</f>
        <v>0</v>
      </c>
      <c r="F6" s="35">
        <f>'4.11'!F6+'4.12'!F6+'4.13'!F6+'4.14'!F6+'4.15'!F6+'4.16'!F6+'4.17'!F6+'4.18'!F6+'4.19'!F6+'4.20'!F6</f>
        <v>0</v>
      </c>
      <c r="G6" s="442">
        <f>'4.11'!G6+'4.12'!G6+'4.13'!G6+'4.14'!G6+'4.15'!G6+'4.16'!G6+'4.17'!G6+'4.18'!G6+'4.19'!G6+'4.20'!G6</f>
        <v>0</v>
      </c>
      <c r="H6" s="306">
        <f>H12+I12+J12</f>
        <v>0</v>
      </c>
      <c r="I6" s="442">
        <f>'4.11'!I6+'4.12'!I6+'4.13'!I6+'4.14'!I6+'4.15'!I6+'4.16'!I6+'4.17'!I6+'4.18'!I6+'4.19'!I6+'4.20'!I6</f>
        <v>0</v>
      </c>
      <c r="J6" s="306">
        <f>H11+I11+J11</f>
        <v>0</v>
      </c>
      <c r="K6" s="33">
        <f>'4.20'!K6</f>
        <v>0</v>
      </c>
      <c r="L6" s="312"/>
      <c r="M6" s="50">
        <f>'4.11'!M6+'4.12'!M6+'4.13'!M6+'4.14'!M6+'4.15'!M6+'4.16'!M6+'4.17'!M6+'4.18'!M6+'4.19'!M6+'4.20'!M6</f>
        <v>0</v>
      </c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78">
        <f>'4.11'!X6+'4.12'!X6+'4.13'!X6+'4.14'!X6+'4.15'!X6+'4.16'!X6+'4.17'!X6+'4.18'!X6+'4.19'!X6+'4.20'!X6</f>
        <v>0</v>
      </c>
      <c r="Y6" s="442">
        <f>'4.11'!Y6+'4.12'!Y6+'4.13'!Y6+'4.14'!Y6+'4.15'!Y6+'4.16'!Y6+'4.17'!Y6+'4.18'!Y6+'4.19'!Y6+'4.20'!Y6</f>
        <v>0</v>
      </c>
      <c r="Z6" s="327"/>
      <c r="AA6" s="97">
        <f>'4.11'!AA6+'4.12'!AA6+'4.13'!AA6+'4.14'!AA6+'4.15'!AA6+'4.16'!AA6+'4.17'!AA6+'4.18'!AA6+'4.19'!AA6+'4.20'!AA6</f>
        <v>0</v>
      </c>
      <c r="AB6" s="331"/>
      <c r="AC6" s="98">
        <f>'4.11'!AC6+'4.12'!AC6+'4.13'!AC6+'4.14'!AC6+'4.15'!AC6+'4.16'!AC6+'4.17'!AC6+'4.18'!AC6+'4.19'!AC6+'4.20'!AC6</f>
        <v>0</v>
      </c>
      <c r="AD6" s="442">
        <f>'4.11'!AD6+'4.12'!AD6+'4.13'!AD6+'4.14'!AD6+'4.15'!AD6+'4.16'!AD6+'4.17'!AD6+'4.18'!AD6+'4.19'!AD6+'4.20'!AD6</f>
        <v>0</v>
      </c>
      <c r="AE6" s="442">
        <f>'4.11'!AE6+'4.12'!AE6+'4.13'!AE6+'4.14'!AE6+'4.15'!AE6+'4.16'!AE6+'4.17'!AE6+'4.18'!AE6+'4.19'!AE6+'4.20'!AE6</f>
        <v>0</v>
      </c>
      <c r="AF6" s="334"/>
      <c r="AG6" s="113">
        <f>'4.11'!AG6</f>
        <v>0</v>
      </c>
      <c r="AH6" s="114">
        <f>'4.11'!AH6+'4.12'!AH6+'4.13'!AH6+'4.14'!AH6+'4.15'!AH6+'4.16'!AH6+'4.17'!AH6+'4.18'!AH6+'4.19'!AH6+'4.20'!AH6</f>
        <v>0</v>
      </c>
      <c r="AI6" s="115">
        <f>'4.11'!AI6+'4.12'!AI6+'4.13'!AI6+'4.14'!AI6+'4.15'!AI6+'4.16'!AI6+'4.17'!AI6+'4.18'!AI6+'4.19'!AI6+'4.20'!AI6</f>
        <v>0</v>
      </c>
      <c r="AJ6" s="115">
        <f>'4.11'!AJ6+'4.12'!AJ6+'4.13'!AJ6+'4.14'!AJ6+'4.15'!AJ6+'4.16'!AJ6+'4.17'!AJ6+'4.18'!AJ6+'4.19'!AJ6+'4.20'!AJ6</f>
        <v>0</v>
      </c>
      <c r="AK6" s="116">
        <f>AG6+AH6-AI6-AJ6+AH14-AI14</f>
        <v>0</v>
      </c>
      <c r="AL6" s="117">
        <f>'4.11'!AL6+'4.12'!AL6+'4.13'!AL6+'4.14'!AL6+'4.15'!AL6+'4.16'!AL6+'4.17'!AL6+'4.18'!AL6+'4.19'!AL6+'4.20'!AL6</f>
        <v>0</v>
      </c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39">
        <f>'4.11'!D7+'4.12'!D7+'4.13'!D7+'4.14'!D7+'4.15'!D7+'4.16'!D7+'4.17'!D7+'4.18'!D7+'4.19'!D7+'4.20'!D7</f>
        <v>0</v>
      </c>
      <c r="E7" s="34">
        <f>'4.11'!E7</f>
        <v>0</v>
      </c>
      <c r="F7" s="40">
        <f>'4.11'!F7+'4.12'!F7+'4.13'!F7+'4.14'!F7+'4.15'!F7+'4.16'!F7+'4.17'!F7+'4.18'!F7+'4.19'!F7+'4.20'!F7</f>
        <v>0</v>
      </c>
      <c r="G7" s="443">
        <f>'4.11'!G7+'4.12'!G7+'4.13'!G7+'4.14'!G7+'4.15'!G7+'4.16'!G7+'4.17'!G7+'4.18'!G7+'4.19'!G7+'4.20'!G7</f>
        <v>0</v>
      </c>
      <c r="H7" s="307"/>
      <c r="I7" s="443">
        <f>'4.11'!I7+'4.12'!I7+'4.13'!I7+'4.14'!I7+'4.15'!I7+'4.16'!I7+'4.17'!I7+'4.18'!I7+'4.19'!I7+'4.20'!I7</f>
        <v>0</v>
      </c>
      <c r="J7" s="307"/>
      <c r="K7" s="62">
        <f>'4.20'!K7</f>
        <v>0</v>
      </c>
      <c r="L7" s="312"/>
      <c r="M7" s="63">
        <f>'4.11'!M7+'4.12'!M7+'4.13'!M7+'4.14'!M7+'4.15'!M7+'4.16'!M7+'4.17'!M7+'4.18'!M7+'4.19'!M7+'4.20'!M7</f>
        <v>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443">
        <f>'4.11'!Y7+'4.12'!Y7+'4.13'!Y7+'4.14'!Y7+'4.15'!Y7+'4.16'!Y7+'4.17'!Y7+'4.18'!Y7+'4.19'!Y7+'4.20'!Y7</f>
        <v>0</v>
      </c>
      <c r="Z7" s="328"/>
      <c r="AA7" s="209"/>
      <c r="AB7" s="332"/>
      <c r="AC7" s="63">
        <f>'4.11'!AC7+'4.12'!AC7+'4.13'!AC7+'4.14'!AC7+'4.15'!AC7+'4.16'!AC7+'4.17'!AC7+'4.18'!AC7+'4.19'!AC7+'4.20'!AC7</f>
        <v>0</v>
      </c>
      <c r="AD7" s="443">
        <f>'4.11'!AD7+'4.12'!AD7+'4.13'!AD7+'4.14'!AD7+'4.15'!AD7+'4.16'!AD7+'4.17'!AD7+'4.18'!AD7+'4.19'!AD7+'4.20'!AD7</f>
        <v>0</v>
      </c>
      <c r="AE7" s="443">
        <f>'4.11'!AE7+'4.12'!AE7+'4.13'!AE7+'4.14'!AE7+'4.15'!AE7+'4.16'!AE7+'4.17'!AE7+'4.18'!AE7+'4.19'!AE7+'4.20'!AE7</f>
        <v>0</v>
      </c>
      <c r="AF7" s="335"/>
      <c r="AG7" s="258" t="s">
        <v>41</v>
      </c>
      <c r="AH7" s="258"/>
      <c r="AI7" s="258"/>
      <c r="AJ7" s="258"/>
      <c r="AK7" s="259"/>
      <c r="AL7" s="120">
        <f>'4.11'!AL7+'4.12'!AL7+'4.13'!AL7+'4.14'!AL7+'4.15'!AL7+'4.16'!AL7+'4.17'!AL7+'4.18'!AL7+'4.19'!AL7+'4.20'!AL7</f>
        <v>0</v>
      </c>
      <c r="AM7" s="55" t="s">
        <v>208</v>
      </c>
      <c r="AN7" s="30" t="s">
        <v>209</v>
      </c>
      <c r="AO7" s="30" t="s">
        <v>44</v>
      </c>
      <c r="AP7" s="30" t="s">
        <v>210</v>
      </c>
      <c r="AQ7" s="30" t="s">
        <v>211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41">
        <f>'4.11'!D8+'4.12'!D8+'4.13'!D8+'4.14'!D8+'4.15'!D8+'4.16'!D8+'4.17'!D8+'4.18'!D8+'4.19'!D8+'4.20'!D8</f>
        <v>0</v>
      </c>
      <c r="E8" s="34">
        <f>'4.11'!E8</f>
        <v>0</v>
      </c>
      <c r="F8" s="42">
        <f>'4.11'!F8+'4.12'!F8+'4.13'!F8+'4.14'!F8+'4.15'!F8+'4.16'!F8+'4.17'!F8+'4.18'!F8+'4.19'!F8+'4.20'!F8</f>
        <v>0</v>
      </c>
      <c r="G8" s="444">
        <f>'4.11'!G8+'4.12'!G8+'4.13'!G8+'4.14'!G8+'4.15'!G8+'4.16'!G8+'4.17'!G8+'4.18'!G8+'4.19'!G8+'4.20'!G8</f>
        <v>0</v>
      </c>
      <c r="H8" s="308"/>
      <c r="I8" s="444">
        <f>'4.11'!I8+'4.12'!I8+'4.13'!I8+'4.14'!I8+'4.15'!I8+'4.16'!I8+'4.17'!I8+'4.18'!I8+'4.19'!I8+'4.20'!I8</f>
        <v>0</v>
      </c>
      <c r="J8" s="308"/>
      <c r="K8" s="41">
        <f>'4.20'!K8</f>
        <v>0</v>
      </c>
      <c r="L8" s="312"/>
      <c r="M8" s="64">
        <f>'4.11'!M8+'4.12'!M8+'4.13'!M8+'4.14'!M8+'4.15'!M8+'4.16'!M8+'4.17'!M8+'4.18'!M8+'4.19'!M8+'4.20'!M8</f>
        <v>0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82">
        <f>'4.11'!X8+'4.12'!X8+'4.13'!X8+'4.14'!X8+'4.15'!X8+'4.16'!X8+'4.17'!X8+'4.18'!X8+'4.19'!X8+'4.20'!X8</f>
        <v>0</v>
      </c>
      <c r="Y8" s="444">
        <f>'4.11'!Y8+'4.12'!Y8+'4.13'!Y8+'4.14'!Y8+'4.15'!Y8+'4.16'!Y8+'4.17'!Y8+'4.18'!Y8+'4.19'!Y8+'4.20'!Y8</f>
        <v>0</v>
      </c>
      <c r="Z8" s="329"/>
      <c r="AA8" s="100">
        <f>'4.11'!AA8+'4.12'!AA8+'4.13'!AA8+'4.14'!AA8+'4.15'!AA8+'4.16'!AA8+'4.17'!AA8+'4.18'!AA8+'4.19'!AA8+'4.20'!AA8</f>
        <v>0</v>
      </c>
      <c r="AB8" s="333"/>
      <c r="AC8" s="101">
        <f>'4.11'!AC8+'4.12'!AC8+'4.13'!AC8+'4.14'!AC8+'4.15'!AC8+'4.16'!AC8+'4.17'!AC8+'4.18'!AC8+'4.19'!AC8+'4.20'!AC8</f>
        <v>0</v>
      </c>
      <c r="AD8" s="444">
        <f>'4.11'!AD8+'4.12'!AD8+'4.13'!AD8+'4.14'!AD8+'4.15'!AD8+'4.16'!AD8+'4.17'!AD8+'4.18'!AD8+'4.19'!AD8+'4.20'!AD8</f>
        <v>0</v>
      </c>
      <c r="AE8" s="444">
        <f>'4.11'!AE8+'4.12'!AE8+'4.13'!AE8+'4.14'!AE8+'4.15'!AE8+'4.16'!AE8+'4.17'!AE8+'4.18'!AE8+'4.19'!AE8+'4.20'!AE8</f>
        <v>0</v>
      </c>
      <c r="AF8" s="336"/>
      <c r="AG8" s="85" t="s">
        <v>201</v>
      </c>
      <c r="AH8" s="49" t="s">
        <v>27</v>
      </c>
      <c r="AI8" s="49" t="s">
        <v>28</v>
      </c>
      <c r="AJ8" s="49" t="s">
        <v>20</v>
      </c>
      <c r="AK8" s="84" t="s">
        <v>15</v>
      </c>
      <c r="AL8" s="121">
        <f>'4.11'!AL8+'4.12'!AL8+'4.13'!AL8+'4.14'!AL8+'4.15'!AL8+'4.16'!AL8+'4.17'!AL8+'4.18'!AL8+'4.19'!AL8+'4.20'!AL8</f>
        <v>0</v>
      </c>
      <c r="AM8" s="118">
        <f>'4.11'!AM8</f>
        <v>497316.48</v>
      </c>
      <c r="AN8" s="122">
        <f>I6+AJ6+AL9+P11+AJ12+AJ9+AD9</f>
        <v>0</v>
      </c>
      <c r="AO8" s="150">
        <f>'4.11'!AO8+'4.12'!AO8+'4.13'!AO8+'4.14'!AO8+'4.15'!AO8+'4.16'!AO8+'4.17'!AO8+'4.18'!AO8+'4.19'!AO8+'4.20'!AO8</f>
        <v>0</v>
      </c>
      <c r="AP8" s="150">
        <f>'4.11'!AP8+'4.12'!AP8+'4.13'!AP8+'4.14'!AP8+'4.15'!AP8+'4.16'!AP8+'4.17'!AP8+'4.18'!AP8+'4.19'!AP8+'4.20'!AP8</f>
        <v>0</v>
      </c>
      <c r="AQ8" s="151">
        <f>AM8+AN8+AO8-AP8</f>
        <v>497316.48</v>
      </c>
      <c r="AR8" s="152">
        <f>'4.20'!AR8</f>
        <v>0</v>
      </c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'4.11'!E9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'4.11'!L9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'4.11'!Q9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'4.11'!V9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'4.11'!AB9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'4.11'!AG9</f>
        <v>0</v>
      </c>
      <c r="AH9" s="124">
        <f>'4.11'!AH9+'4.12'!AH9+'4.13'!AH9+'4.14'!AH9+'4.15'!AH9+'4.16'!AH9+'4.17'!AH9+'4.18'!AH9+'4.19'!AH9+'4.20'!AH9</f>
        <v>0</v>
      </c>
      <c r="AI9" s="124">
        <f>'4.11'!AI9+'4.12'!AI9+'4.13'!AI9+'4.14'!AI9+'4.15'!AI9+'4.16'!AI9+'4.17'!AI9+'4.18'!AI9+'4.19'!AI9+'4.20'!AI9</f>
        <v>0</v>
      </c>
      <c r="AJ9" s="124">
        <f>'4.11'!AJ9+'4.12'!AJ9+'4.13'!AJ9+'4.14'!AJ9+'4.15'!AJ9+'4.16'!AJ9+'4.17'!AJ9+'4.18'!AJ9+'4.19'!AJ9+'4.20'!AJ9</f>
        <v>0</v>
      </c>
      <c r="AK9" s="125">
        <f>AG9+AH9-AI9-AJ9+AK14-AL14</f>
        <v>0</v>
      </c>
      <c r="AL9" s="126">
        <f>AL6+AL7+AL8</f>
        <v>0</v>
      </c>
      <c r="AM9" s="127" t="s">
        <v>212</v>
      </c>
      <c r="AN9" s="128" t="s">
        <v>213</v>
      </c>
      <c r="AO9" s="128" t="s">
        <v>53</v>
      </c>
      <c r="AP9" s="128" t="s">
        <v>214</v>
      </c>
      <c r="AQ9" s="153" t="s">
        <v>215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251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252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439">
        <f>'4.11'!A11+'4.12'!A11+'4.13'!A11+'4.14'!A11+'4.15'!A11+'4.16'!A11+'4.17'!A11+'4.18'!A11+'4.19'!A11+'4.20'!A11</f>
        <v>0</v>
      </c>
      <c r="B11" s="439">
        <f>'4.11'!B11+'4.12'!B11+'4.13'!B11+'4.14'!B11+'4.15'!B11+'4.16'!B11+'4.17'!B11+'4.18'!B11+'4.19'!B11+'4.20'!B11</f>
        <v>0</v>
      </c>
      <c r="C11" s="51">
        <f>'4.11'!C11+'4.12'!C11+'4.13'!C11+'4.14'!C11+'4.15'!C11+'4.16'!C11+'4.17'!C11+'4.18'!C11+'4.19'!C11+'4.20'!C11</f>
        <v>0</v>
      </c>
      <c r="D11" s="297"/>
      <c r="E11" s="264"/>
      <c r="F11" s="358"/>
      <c r="G11" s="49" t="s">
        <v>76</v>
      </c>
      <c r="H11" s="52">
        <f>'4.11'!H11+'4.12'!H11+'4.13'!H11+'4.14'!H11+'4.15'!H11+'4.16'!H11+'4.17'!H11+'4.18'!H11+'4.19'!H11+'4.20'!H11</f>
        <v>0</v>
      </c>
      <c r="I11" s="70">
        <f>'4.11'!I11+'4.12'!I11+'4.13'!I11+'4.14'!I11+'4.15'!I11+'4.16'!I11+'4.17'!I11+'4.18'!I11+'4.19'!I11+'4.20'!I11</f>
        <v>0</v>
      </c>
      <c r="J11" s="71">
        <f>'4.11'!J11+'4.12'!J11+'4.13'!J11+'4.14'!J11+'4.15'!J11+'4.16'!J11+'4.17'!J11+'4.18'!J11+'4.19'!J11+'4.20'!J11</f>
        <v>0</v>
      </c>
      <c r="K11" s="72">
        <f>ROUND(K6+K7+K8-K9,2)</f>
        <v>-2947.28</v>
      </c>
      <c r="L11" s="50">
        <f>'4.11'!L11+'4.12'!L11+'4.13'!L11+'4.14'!L11+'4.15'!L11+'4.16'!L11+'4.17'!L11+'4.18'!L11+'4.19'!L11+'4.20'!L11</f>
        <v>0</v>
      </c>
      <c r="M11" s="267"/>
      <c r="N11" s="267"/>
      <c r="O11" s="49" t="s">
        <v>37</v>
      </c>
      <c r="P11" s="73">
        <f>'4.11'!P11+'4.12'!P11+'4.13'!P11+'4.14'!P11+'4.15'!P11+'4.16'!P11+'4.17'!P11+'4.18'!P11+'4.19'!P11+'4.20'!P11</f>
        <v>0</v>
      </c>
      <c r="Q11" s="85" t="s">
        <v>77</v>
      </c>
      <c r="R11" s="86">
        <f>'4.11'!R11+'4.12'!R11+'4.13'!R11+'4.14'!R11+'4.15'!R11+'4.16'!R11+'4.17'!R11+'4.18'!R11+'4.19'!R11+'4.20'!R11</f>
        <v>0</v>
      </c>
      <c r="S11" s="87">
        <f>'4.11'!S11+'4.12'!S11+'4.13'!S11+'4.14'!S11+'4.15'!S11+'4.16'!S11+'4.17'!S11+'4.18'!S11+'4.19'!S11+'4.20'!S11</f>
        <v>0</v>
      </c>
      <c r="T11" s="88">
        <f>'4.11'!T11+'4.12'!T11+'4.13'!T11+'4.14'!T11+'4.15'!T11+'4.16'!T11+'4.17'!T11+'4.18'!T11+'4.19'!T11+'4.20'!T11</f>
        <v>0</v>
      </c>
      <c r="U11" s="89">
        <f>'4.11'!U11+'4.12'!U11+'4.13'!U11+'4.14'!U11+'4.15'!U11+'4.16'!U11+'4.17'!U11+'4.18'!U11+'4.19'!U11+'4.20'!U11</f>
        <v>0</v>
      </c>
      <c r="V11" s="350"/>
      <c r="W11" s="351"/>
      <c r="X11" s="294"/>
      <c r="Y11" s="294"/>
      <c r="Z11" s="330"/>
      <c r="AA11" s="73">
        <f>'4.20'!AA11</f>
        <v>0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52">
        <f>'4.11'!H12+'4.12'!H12+'4.13'!H12+'4.14'!H12+'4.15'!H12+'4.16'!H12+'4.17'!H12+'4.18'!H12+'4.19'!H12+'4.20'!H12</f>
        <v>0</v>
      </c>
      <c r="I12" s="70">
        <f>'4.11'!I12+'4.12'!I12+'4.13'!I12+'4.14'!I12+'4.15'!I12+'4.16'!I12+'4.17'!I12+'4.18'!I12+'4.19'!I12+'4.20'!I12</f>
        <v>0</v>
      </c>
      <c r="J12" s="71">
        <f>'4.11'!J12+'4.12'!J12+'4.13'!J12+'4.14'!J12+'4.15'!J12+'4.16'!J12+'4.17'!J12+'4.18'!J12+'4.19'!J12+'4.20'!J12</f>
        <v>0</v>
      </c>
      <c r="K12" s="309"/>
      <c r="L12" s="49" t="s">
        <v>87</v>
      </c>
      <c r="M12" s="267"/>
      <c r="N12" s="267"/>
      <c r="O12" s="49" t="s">
        <v>61</v>
      </c>
      <c r="P12" s="74">
        <f>'4.11'!P12+'4.12'!P12+'4.13'!P12+'4.14'!P12+'4.15'!P12+'4.16'!P12+'4.17'!P12+'4.18'!P12+'4.19'!P12+'4.20'!P12</f>
        <v>0</v>
      </c>
      <c r="Q12" s="90" t="s">
        <v>20</v>
      </c>
      <c r="R12" s="86">
        <f>'4.11'!R12+'4.12'!R12+'4.13'!R12+'4.14'!R12+'4.15'!R12+'4.16'!R12+'4.17'!R12+'4.18'!R12+'4.19'!R12+'4.20'!R12</f>
        <v>0</v>
      </c>
      <c r="S12" s="87">
        <f>'4.11'!S12+'4.12'!S12+'4.13'!S12+'4.14'!S12+'4.15'!S12+'4.16'!S12+'4.17'!S12+'4.18'!S12+'4.19'!S12+'4.20'!S12</f>
        <v>0</v>
      </c>
      <c r="T12" s="88">
        <f>'4.11'!T12+'4.12'!T12+'4.13'!T12+'4.14'!T12+'4.15'!T12+'4.16'!T12+'4.17'!T12+'4.18'!T12+'4.19'!T12+'4.20'!T12</f>
        <v>0</v>
      </c>
      <c r="U12" s="89">
        <f>'4.11'!U12+'4.12'!U12+'4.13'!U12+'4.14'!U12+'4.15'!U12+'4.16'!U12+'4.17'!U12+'4.18'!U12+'4.19'!U12+'4.20'!U12</f>
        <v>0</v>
      </c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'4.11'!AG12</f>
        <v>0</v>
      </c>
      <c r="AH12" s="114">
        <f>'4.11'!AH12+'4.12'!AH12+'4.13'!AH12+'4.14'!AH12+'4.15'!AH12+'4.16'!AH12+'4.17'!AH12+'4.18'!AH12+'4.19'!AH12+'4.20'!AH12</f>
        <v>0</v>
      </c>
      <c r="AI12" s="132">
        <f>AG12+AH12-AJ12-AK12</f>
        <v>0</v>
      </c>
      <c r="AJ12" s="114">
        <f>'4.11'!AJ12+'4.12'!AJ12+'4.13'!AJ12+'4.14'!AJ12+'4.15'!AJ12+'4.16'!AJ12+'4.17'!AJ12+'4.18'!AJ12+'4.19'!AJ12+'4.20'!AJ12</f>
        <v>0</v>
      </c>
      <c r="AK12" s="133">
        <f>'4.20'!AK12</f>
        <v>0</v>
      </c>
      <c r="AL12" s="340"/>
      <c r="AM12" s="134">
        <f>'4.11'!AM12</f>
        <v>550013.99</v>
      </c>
      <c r="AN12" s="38">
        <f>H11+P12+R12</f>
        <v>0</v>
      </c>
      <c r="AO12" s="52">
        <f>'4.11'!AO12+'4.12'!AO12+'4.13'!AO12+'4.14'!AO12+'4.15'!AO12+'4.16'!AO12+'4.17'!AO12+'4.18'!AO12+'4.19'!AO12+'4.20'!AO12</f>
        <v>0</v>
      </c>
      <c r="AP12" s="52">
        <f>'4.11'!AP12+'4.12'!AP12+'4.13'!AP12+'4.14'!AP12+'4.15'!AP12+'4.16'!AP12+'4.17'!AP12+'4.18'!AP12+'4.19'!AP12+'4.20'!AP12</f>
        <v>0</v>
      </c>
      <c r="AQ12" s="32">
        <f>AM12+AN12+AO12-AP12</f>
        <v>550013.99</v>
      </c>
      <c r="AR12" s="52">
        <f>'4.20'!AR12</f>
        <v>0</v>
      </c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50">
        <f>'4.11'!L13+'4.12'!L13+'4.13'!L13+'4.14'!L13+'4.15'!L13+'4.16'!L13+'4.17'!L13+'4.18'!L13+'4.19'!L13+'4.20'!L13</f>
        <v>0</v>
      </c>
      <c r="M13" s="267"/>
      <c r="N13" s="267"/>
      <c r="O13" s="49" t="s">
        <v>62</v>
      </c>
      <c r="P13" s="75">
        <f>'4.11'!P13+'4.12'!P13+'4.13'!P13+'4.14'!P13+'4.15'!P13+'4.16'!P13+'4.17'!P13+'4.18'!P13+'4.19'!P13+'4.20'!P13</f>
        <v>0</v>
      </c>
      <c r="Q13" s="90" t="s">
        <v>21</v>
      </c>
      <c r="R13" s="86">
        <f>'4.11'!R13+'4.12'!R13+'4.13'!R13+'4.14'!R13+'4.15'!R13+'4.16'!R13+'4.17'!R13+'4.18'!R13+'4.19'!R13+'4.20'!R13</f>
        <v>0</v>
      </c>
      <c r="S13" s="87">
        <f>'4.11'!S13+'4.12'!S13+'4.13'!S13+'4.14'!S13+'4.15'!S13+'4.16'!S13+'4.17'!S13+'4.18'!S13+'4.19'!S13+'4.20'!S13</f>
        <v>0</v>
      </c>
      <c r="T13" s="88">
        <f>'4.11'!T13+'4.12'!T13+'4.13'!T13+'4.14'!T13+'4.15'!T13+'4.16'!T13+'4.17'!T13+'4.18'!T13+'4.19'!T13+'4.20'!T13</f>
        <v>0</v>
      </c>
      <c r="U13" s="89">
        <f>'4.11'!U13+'4.12'!U13+'4.13'!U13+'4.14'!U13+'4.15'!U13+'4.16'!U13+'4.17'!U13+'4.18'!U13+'4.19'!U13+'4.20'!U13</f>
        <v>0</v>
      </c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216</v>
      </c>
      <c r="AN13" s="131" t="s">
        <v>96</v>
      </c>
      <c r="AO13" s="131" t="s">
        <v>97</v>
      </c>
      <c r="AP13" s="131" t="s">
        <v>217</v>
      </c>
      <c r="AQ13" s="131" t="s">
        <v>218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92">
        <f>'4.20'!R14</f>
        <v>0</v>
      </c>
      <c r="S14" s="92">
        <f>'4.20'!S14</f>
        <v>0</v>
      </c>
      <c r="T14" s="92">
        <f>'4.20'!T14</f>
        <v>0</v>
      </c>
      <c r="U14" s="92">
        <f>'4.20'!U14</f>
        <v>0</v>
      </c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114">
        <f>'4.11'!AG14+'4.12'!AG14+'4.13'!AG14+'4.14'!AG14+'4.15'!AG14+'4.16'!AG14+'4.17'!AG14+'4.18'!AG14+'4.19'!AG14+'4.20'!AG14</f>
        <v>0</v>
      </c>
      <c r="AH14" s="138">
        <f>IF(AG14-AH6&gt;0,AG14-AH6,IF(AG14-AH6&lt;=0,0))</f>
        <v>0</v>
      </c>
      <c r="AI14" s="138">
        <f>IF(AH6-AG14&gt;0,AH6-AG14,IF(AH6-AG14&lt;=0,0))</f>
        <v>0</v>
      </c>
      <c r="AJ14" s="114">
        <f>'4.11'!AJ14+'4.12'!AJ14+'4.13'!AJ14+'4.14'!AJ14+'4.15'!AJ14+'4.16'!AJ14+'4.17'!AJ14+'4.18'!AJ14+'4.19'!AJ14+'4.20'!AJ14</f>
        <v>0</v>
      </c>
      <c r="AK14" s="138">
        <f>IF(AJ14-AH9&gt;0,AJ14-AH9,IF(AJ14-AH9&lt;=0,0))</f>
        <v>0</v>
      </c>
      <c r="AL14" s="139">
        <f>IF(AH9-AJ14&gt;0,AH9-AJ14,IF(AJ14-AH9&lt;=0,0))</f>
        <v>0</v>
      </c>
      <c r="AM14" s="66">
        <f>'4.11'!AM14</f>
        <v>102131.94</v>
      </c>
      <c r="AN14" s="38">
        <f>I11+P13+S12</f>
        <v>0</v>
      </c>
      <c r="AO14" s="86">
        <f>'4.11'!AO14+'4.12'!AO14+'4.13'!AO14+'4.14'!AO14+'4.15'!AO14+'4.16'!AO14+'4.17'!AO14+'4.18'!AO14+'4.19'!AO14+'4.20'!AO14</f>
        <v>0</v>
      </c>
      <c r="AP14" s="86">
        <f>'4.11'!AP14+'4.12'!AP14+'4.13'!AP14+'4.14'!AP14+'4.15'!AP14+'4.16'!AP14+'4.17'!AP14+'4.18'!AP14+'4.19'!AP14+'4.20'!AP14</f>
        <v>0</v>
      </c>
      <c r="AQ14" s="32">
        <f>AM14+AN14+AO14-AP14</f>
        <v>102131.94</v>
      </c>
      <c r="AR14" s="86">
        <f>'4.20'!AR14</f>
        <v>0</v>
      </c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219</v>
      </c>
      <c r="AN15" s="141" t="s">
        <v>220</v>
      </c>
      <c r="AO15" s="141" t="s">
        <v>107</v>
      </c>
      <c r="AP15" s="141" t="s">
        <v>221</v>
      </c>
      <c r="AQ15" s="28" t="s">
        <v>222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'4.11'!AM16</f>
        <v>0</v>
      </c>
      <c r="AN16" s="53">
        <f>J11+T12</f>
        <v>0</v>
      </c>
      <c r="AO16" s="87">
        <f>'4.11'!AO16+'4.12'!AO16+'4.13'!AO16+'4.14'!AO16+'4.15'!AO16+'4.16'!AO16+'4.17'!AO16+'4.18'!AO16+'4.19'!AO16+'4.20'!AO16</f>
        <v>0</v>
      </c>
      <c r="AP16" s="87">
        <f>'4.11'!AP16+'4.12'!AP16+'4.13'!AP16+'4.14'!AP16+'4.15'!AP16+'4.16'!AP16+'4.17'!AP16+'4.18'!AP16+'4.19'!AP16+'4.20'!AP16</f>
        <v>0</v>
      </c>
      <c r="AQ16" s="53">
        <f>AM16+AN16+AO16-AP16</f>
        <v>0</v>
      </c>
      <c r="AR16" s="87">
        <f>'4.20'!AR16</f>
        <v>0</v>
      </c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223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224</v>
      </c>
      <c r="AN17" s="144" t="s">
        <v>225</v>
      </c>
      <c r="AO17" s="144" t="s">
        <v>124</v>
      </c>
      <c r="AP17" s="144" t="s">
        <v>226</v>
      </c>
      <c r="AQ17" s="56" t="s">
        <v>227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'4.11'!AM18</f>
        <v>0</v>
      </c>
      <c r="AN18" s="53">
        <f>U12</f>
        <v>0</v>
      </c>
      <c r="AO18" s="88">
        <f>'4.11'!AO18+'4.12'!AO18+'4.13'!AO18+'4.14'!AO18+'4.15'!AO18+'4.16'!AO18+'4.17'!AO18+'4.18'!AO18+'4.19'!AO18+'4.20'!AO18</f>
        <v>0</v>
      </c>
      <c r="AP18" s="88">
        <f>'4.11'!AP18+'4.12'!AP18+'4.13'!AP18+'4.14'!AP18+'4.15'!AP18+'4.16'!AP18+'4.17'!AP18+'4.18'!AP18+'4.19'!AP18+'4.20'!AP18</f>
        <v>0</v>
      </c>
      <c r="AQ18" s="53">
        <f>AM18+AN18+AO18-AP18</f>
        <v>0</v>
      </c>
      <c r="AR18" s="88">
        <f>'4.20'!AR18</f>
        <v>0</v>
      </c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'4.11'!C19</f>
        <v>779060.67</v>
      </c>
      <c r="D19" s="277"/>
      <c r="E19" s="313">
        <f>'4.11'!E19+'4.12'!E19+'4.13'!E19+'4.14'!E19+'4.15'!E19+'4.16'!E19+'4.17'!E19+'4.18'!E19+'4.19'!E19+'4.20'!E19</f>
        <v>0</v>
      </c>
      <c r="F19" s="313">
        <f>'4.11'!F19+'4.12'!F19+'4.13'!F19+'4.14'!F19+'4.15'!F19+'4.16'!F19+'4.17'!F19+'4.18'!F19+'4.19'!F19+'4.20'!F19</f>
        <v>0</v>
      </c>
      <c r="G19" s="46" t="s">
        <v>139</v>
      </c>
      <c r="H19" s="58">
        <f>'4.11'!H19</f>
        <v>0</v>
      </c>
      <c r="I19" s="76"/>
      <c r="J19" s="49"/>
      <c r="K19" s="32">
        <f>'4.20'!K19</f>
        <v>0</v>
      </c>
      <c r="L19" s="32">
        <f>'4.11'!L19+'4.12'!L19+'4.13'!L19+'4.14'!L19+'4.15'!L19+'4.16'!L19+'4.17'!L19+'4.18'!L19+'4.19'!L19+'4.20'!L19</f>
        <v>0</v>
      </c>
      <c r="M19" s="277">
        <f>'4.11'!M19+'4.12'!M19+'4.13'!M19+'4.14'!M19+'4.15'!M19+'4.16'!M19+'4.17'!M19+'4.18'!M19+'4.19'!M19+'4.20'!M19</f>
        <v>0</v>
      </c>
      <c r="N19" s="277">
        <f>'4.11'!N19+'4.12'!N19+'4.13'!N19+'4.14'!N19+'4.15'!N19+'4.16'!N19+'4.17'!N19+'4.18'!N19+'4.19'!N19+'4.20'!N19</f>
        <v>0</v>
      </c>
      <c r="O19" s="362">
        <f>M19+M20+M21+M22</f>
        <v>0</v>
      </c>
      <c r="P19" s="363"/>
      <c r="Q19" s="362">
        <f>C19+E19-O19</f>
        <v>779060.67</v>
      </c>
      <c r="R19" s="363"/>
      <c r="S19" s="445">
        <f>'4.20'!S19</f>
        <v>0</v>
      </c>
      <c r="T19" s="446">
        <f>'4.20'!T19</f>
        <v>0</v>
      </c>
      <c r="U19" s="323">
        <f>S19-Q19</f>
        <v>-779060.67</v>
      </c>
      <c r="V19" s="323">
        <f>'4.20'!U19-'4.11'!U19</f>
        <v>0</v>
      </c>
      <c r="W19" s="306">
        <f>'4.20'!W19:W21</f>
        <v>0</v>
      </c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228</v>
      </c>
      <c r="AN19" s="141" t="s">
        <v>229</v>
      </c>
      <c r="AO19" s="28" t="s">
        <v>142</v>
      </c>
      <c r="AP19" s="28" t="s">
        <v>230</v>
      </c>
      <c r="AQ19" s="28" t="s">
        <v>231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/>
      <c r="D20" s="277"/>
      <c r="E20" s="313">
        <f>'4.11'!E20+'4.12'!E20+'4.13'!E20+'4.14'!E20+'4.15'!E20+'4.16'!E20+'4.17'!E20+'4.18'!E20+'4.19'!E20+'4.20'!E20</f>
        <v>0</v>
      </c>
      <c r="F20" s="313">
        <f>'4.11'!F20+'4.12'!F20+'4.13'!F20+'4.14'!F20+'4.15'!F20+'4.16'!F20+'4.17'!F20+'4.18'!F20+'4.19'!F20+'4.20'!F20</f>
        <v>0</v>
      </c>
      <c r="G20" s="46" t="s">
        <v>147</v>
      </c>
      <c r="H20" s="58">
        <f>'4.11'!H20</f>
        <v>0</v>
      </c>
      <c r="I20" s="76"/>
      <c r="J20" s="49"/>
      <c r="K20" s="32">
        <f>'4.20'!K20</f>
        <v>0</v>
      </c>
      <c r="L20" s="32">
        <f>'4.11'!L20+'4.12'!L20+'4.13'!L20+'4.14'!L20+'4.15'!L20+'4.16'!L20+'4.17'!L20+'4.18'!L20+'4.19'!L20+'4.20'!L20</f>
        <v>0</v>
      </c>
      <c r="M20" s="277">
        <f>'4.11'!M20+'4.12'!M20+'4.13'!M20+'4.14'!M20+'4.15'!M20+'4.16'!M20+'4.17'!M20+'4.18'!M20+'4.19'!M20+'4.20'!M20</f>
        <v>0</v>
      </c>
      <c r="N20" s="277">
        <f>'4.11'!N20+'4.12'!N20+'4.13'!N20+'4.14'!N20+'4.15'!N20+'4.16'!N20+'4.17'!N20+'4.18'!N20+'4.19'!N20+'4.20'!N20</f>
        <v>0</v>
      </c>
      <c r="O20" s="364"/>
      <c r="P20" s="365"/>
      <c r="Q20" s="364"/>
      <c r="R20" s="365"/>
      <c r="S20" s="447">
        <f>'4.20'!S20</f>
        <v>0</v>
      </c>
      <c r="T20" s="448">
        <f>'4.20'!T20</f>
        <v>0</v>
      </c>
      <c r="U20" s="324"/>
      <c r="V20" s="324"/>
      <c r="W20" s="307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'4.11'!AM20</f>
        <v>0</v>
      </c>
      <c r="AN20" s="28"/>
      <c r="AO20" s="156">
        <f>'4.11'!AO20+'4.12'!AO20+'4.13'!AO20+'4.14'!AO20+'4.15'!AO20+'4.16'!AO20+'4.17'!AO20+'4.18'!AO20+'4.19'!AO20+'4.20'!AO20</f>
        <v>0</v>
      </c>
      <c r="AP20" s="156">
        <f>'4.11'!AP20+'4.12'!AP20+'4.13'!AP20+'4.14'!AP20+'4.15'!AP20+'4.16'!AP20+'4.17'!AP20+'4.18'!AP20+'4.19'!AP20+'4.20'!AP20</f>
        <v>0</v>
      </c>
      <c r="AQ20" s="53">
        <f>AM20+AN20+AO20-AP20</f>
        <v>0</v>
      </c>
      <c r="AR20" s="156">
        <f>'4.20'!AR20</f>
        <v>0</v>
      </c>
      <c r="AS20" s="155">
        <f>ROUND(AR20-AQ20,2)</f>
        <v>0</v>
      </c>
    </row>
    <row r="21" spans="1:45" ht="18" customHeight="1">
      <c r="A21" s="286"/>
      <c r="B21" s="292"/>
      <c r="C21" s="277"/>
      <c r="D21" s="277"/>
      <c r="E21" s="313">
        <f>'4.11'!E21+'4.12'!E21+'4.13'!E21+'4.14'!E21+'4.15'!E21+'4.16'!E21+'4.17'!E21+'4.18'!E21+'4.19'!E21+'4.20'!E21</f>
        <v>0</v>
      </c>
      <c r="F21" s="313">
        <f>'4.11'!F21+'4.12'!F21+'4.13'!F21+'4.14'!F21+'4.15'!F21+'4.16'!F21+'4.17'!F21+'4.18'!F21+'4.19'!F21+'4.20'!F21</f>
        <v>0</v>
      </c>
      <c r="G21" s="46" t="s">
        <v>148</v>
      </c>
      <c r="H21" s="58">
        <f>'4.11'!H21</f>
        <v>0</v>
      </c>
      <c r="I21" s="76"/>
      <c r="J21" s="49"/>
      <c r="K21" s="32">
        <f>'4.20'!K21</f>
        <v>0</v>
      </c>
      <c r="L21" s="32">
        <f>'4.11'!L21+'4.12'!L21+'4.13'!L21+'4.14'!L21+'4.15'!L21+'4.16'!L21+'4.17'!L21+'4.18'!L21+'4.19'!L21+'4.20'!L21</f>
        <v>0</v>
      </c>
      <c r="M21" s="277">
        <f>'4.11'!M21+'4.12'!M21+'4.13'!M21+'4.14'!M21+'4.15'!M21+'4.16'!M21+'4.17'!M21+'4.18'!M21+'4.19'!M21+'4.20'!M21</f>
        <v>0</v>
      </c>
      <c r="N21" s="277">
        <f>'4.11'!N21+'4.12'!N21+'4.13'!N21+'4.14'!N21+'4.15'!N21+'4.16'!N21+'4.17'!N21+'4.18'!N21+'4.19'!N21+'4.20'!N21</f>
        <v>0</v>
      </c>
      <c r="O21" s="364"/>
      <c r="P21" s="365"/>
      <c r="Q21" s="364"/>
      <c r="R21" s="365"/>
      <c r="S21" s="447">
        <f>'4.20'!S21</f>
        <v>0</v>
      </c>
      <c r="T21" s="448">
        <f>'4.20'!T21</f>
        <v>0</v>
      </c>
      <c r="U21" s="324"/>
      <c r="V21" s="324"/>
      <c r="W21" s="307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232</v>
      </c>
      <c r="AN21" s="141" t="s">
        <v>233</v>
      </c>
      <c r="AO21" s="28" t="s">
        <v>151</v>
      </c>
      <c r="AP21" s="28" t="s">
        <v>234</v>
      </c>
      <c r="AQ21" s="28" t="s">
        <v>235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/>
      <c r="D22" s="277"/>
      <c r="E22" s="313">
        <f>'4.11'!E22+'4.12'!E22+'4.13'!E22+'4.14'!E22+'4.15'!E22+'4.16'!E22+'4.17'!E22+'4.18'!E22+'4.19'!E22+'4.20'!E22</f>
        <v>0</v>
      </c>
      <c r="F22" s="313">
        <f>'4.11'!F22+'4.12'!F22+'4.13'!F22+'4.14'!F22+'4.15'!F22+'4.16'!F22+'4.17'!F22+'4.18'!F22+'4.19'!F22+'4.20'!F22</f>
        <v>0</v>
      </c>
      <c r="G22" s="46" t="s">
        <v>156</v>
      </c>
      <c r="H22" s="58">
        <f>'4.11'!H22</f>
        <v>0</v>
      </c>
      <c r="I22" s="76"/>
      <c r="J22" s="49"/>
      <c r="K22" s="32">
        <f>'4.20'!K22</f>
        <v>0</v>
      </c>
      <c r="L22" s="32">
        <f>'4.11'!L22+'4.12'!L22+'4.13'!L22+'4.14'!L22+'4.15'!L22+'4.16'!L22+'4.17'!L22+'4.18'!L22+'4.19'!L22+'4.20'!L22</f>
        <v>0</v>
      </c>
      <c r="M22" s="277">
        <f>'4.11'!M22+'4.12'!M22+'4.13'!M22+'4.14'!M22+'4.15'!M22+'4.16'!M22+'4.17'!M22+'4.18'!M22+'4.19'!M22+'4.20'!M22</f>
        <v>0</v>
      </c>
      <c r="N22" s="277">
        <f>'4.11'!N22+'4.12'!N22+'4.13'!N22+'4.14'!N22+'4.15'!N22+'4.16'!N22+'4.17'!N22+'4.18'!N22+'4.19'!N22+'4.20'!N22</f>
        <v>0</v>
      </c>
      <c r="O22" s="364"/>
      <c r="P22" s="365"/>
      <c r="Q22" s="364"/>
      <c r="R22" s="365"/>
      <c r="S22" s="447">
        <f>'4.20'!S22</f>
        <v>0</v>
      </c>
      <c r="T22" s="448">
        <f>'4.20'!T22</f>
        <v>0</v>
      </c>
      <c r="U22" s="324"/>
      <c r="V22" s="324"/>
      <c r="W22" s="307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'4.11'!AM22</f>
        <v>0</v>
      </c>
      <c r="AN22" s="28"/>
      <c r="AO22" s="70">
        <f>'4.11'!AO22+'4.12'!AO22+'4.13'!AO22+'4.14'!AO22+'4.15'!AO22+'4.16'!AO22+'4.17'!AO22+'4.18'!AO22+'4.19'!AO22+'4.20'!AO22</f>
        <v>0</v>
      </c>
      <c r="AP22" s="70">
        <f>'4.11'!AP22+'4.12'!AP22+'4.13'!AP22+'4.14'!AP22+'4.15'!AP22+'4.16'!AP22+'4.17'!AP22+'4.18'!AP22+'4.19'!AP22+'4.20'!AP22</f>
        <v>0</v>
      </c>
      <c r="AQ22" s="53">
        <f>AM22+AN22+AO22-AP22</f>
        <v>0</v>
      </c>
      <c r="AR22" s="70">
        <f>'4.20'!AR22</f>
        <v>0</v>
      </c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'4.11'!C23</f>
        <v>345566.13</v>
      </c>
      <c r="D23" s="277"/>
      <c r="E23" s="313">
        <f>'4.11'!E23+'4.12'!E23+'4.13'!E23+'4.14'!E23+'4.15'!E23+'4.16'!E23+'4.17'!E23+'4.18'!E23+'4.19'!E23+'4.20'!E23</f>
        <v>0</v>
      </c>
      <c r="F23" s="313">
        <f>'4.11'!F23+'4.12'!F23+'4.13'!F23+'4.14'!F23+'4.15'!F23+'4.16'!F23+'4.17'!F23+'4.18'!F23+'4.19'!F23+'4.20'!F23</f>
        <v>0</v>
      </c>
      <c r="G23" s="46" t="s">
        <v>157</v>
      </c>
      <c r="H23" s="58">
        <f>'4.11'!H23</f>
        <v>0</v>
      </c>
      <c r="I23" s="76"/>
      <c r="J23" s="49"/>
      <c r="K23" s="32">
        <f>'4.20'!K23</f>
        <v>0</v>
      </c>
      <c r="L23" s="32">
        <f>'4.11'!L23+'4.12'!L23+'4.13'!L23+'4.14'!L23+'4.15'!L23+'4.16'!L23+'4.17'!L23+'4.18'!L23+'4.19'!L23+'4.20'!L23</f>
        <v>0</v>
      </c>
      <c r="M23" s="277">
        <f>'4.11'!M23+'4.12'!M23+'4.13'!M23+'4.14'!M23+'4.15'!M23+'4.16'!M23+'4.17'!M23+'4.18'!M23+'4.19'!M23+'4.20'!M23</f>
        <v>0</v>
      </c>
      <c r="N23" s="277">
        <f>'4.11'!N23+'4.12'!N23+'4.13'!N23+'4.14'!N23+'4.15'!N23+'4.16'!N23+'4.17'!N23+'4.18'!N23+'4.19'!N23+'4.20'!N23</f>
        <v>0</v>
      </c>
      <c r="O23" s="277">
        <f>M23+M24+M25</f>
        <v>0</v>
      </c>
      <c r="P23" s="277"/>
      <c r="Q23" s="277">
        <f>C23+E23-O23</f>
        <v>345566.13</v>
      </c>
      <c r="R23" s="277"/>
      <c r="S23" s="313">
        <f>'4.20'!S23</f>
        <v>0</v>
      </c>
      <c r="T23" s="313">
        <f>'4.20'!T23</f>
        <v>0</v>
      </c>
      <c r="U23" s="277">
        <f>S23-Q23</f>
        <v>-345566.13</v>
      </c>
      <c r="V23" s="277">
        <f>'4.20'!U23-'4.11'!U23</f>
        <v>0</v>
      </c>
      <c r="W23" s="313">
        <f>'4.20'!W24</f>
        <v>0</v>
      </c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236</v>
      </c>
      <c r="AN23" s="141" t="s">
        <v>237</v>
      </c>
      <c r="AO23" s="28" t="s">
        <v>161</v>
      </c>
      <c r="AP23" s="28" t="s">
        <v>238</v>
      </c>
      <c r="AQ23" s="28" t="s">
        <v>239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/>
      <c r="D24" s="277"/>
      <c r="E24" s="313">
        <f>'4.11'!E24+'4.12'!E24+'4.13'!E24+'4.14'!E24+'4.15'!E24+'4.16'!E24+'4.17'!E24+'4.18'!E24+'4.19'!E24+'4.20'!E24</f>
        <v>0</v>
      </c>
      <c r="F24" s="313">
        <f>'4.11'!F24+'4.12'!F24+'4.13'!F24+'4.14'!F24+'4.15'!F24+'4.16'!F24+'4.17'!F24+'4.18'!F24+'4.19'!F24+'4.20'!F24</f>
        <v>0</v>
      </c>
      <c r="G24" s="46" t="s">
        <v>137</v>
      </c>
      <c r="H24" s="58">
        <f>'4.11'!H24</f>
        <v>0</v>
      </c>
      <c r="I24" s="76"/>
      <c r="J24" s="49"/>
      <c r="K24" s="32">
        <f>'4.20'!K24</f>
        <v>0</v>
      </c>
      <c r="L24" s="32">
        <f>'4.11'!L24+'4.12'!L24+'4.13'!L24+'4.14'!L24+'4.15'!L24+'4.16'!L24+'4.17'!L24+'4.18'!L24+'4.19'!L24+'4.20'!L24</f>
        <v>0</v>
      </c>
      <c r="M24" s="277">
        <f>'4.11'!M24+'4.12'!M24+'4.13'!M24+'4.14'!M24+'4.15'!M24+'4.16'!M24+'4.17'!M24+'4.18'!M24+'4.19'!M24+'4.20'!M24</f>
        <v>0</v>
      </c>
      <c r="N24" s="277">
        <f>'4.11'!N24+'4.12'!N24+'4.13'!N24+'4.14'!N24+'4.15'!N24+'4.16'!N24+'4.17'!N24+'4.18'!N24+'4.19'!N24+'4.20'!N24</f>
        <v>0</v>
      </c>
      <c r="O24" s="277"/>
      <c r="P24" s="277"/>
      <c r="Q24" s="277"/>
      <c r="R24" s="277"/>
      <c r="S24" s="313">
        <f>'4.20'!S24</f>
        <v>0</v>
      </c>
      <c r="T24" s="313">
        <f>'4.20'!T24</f>
        <v>0</v>
      </c>
      <c r="U24" s="277"/>
      <c r="V24" s="277">
        <f>'4.20'!U24-'4.11'!U24</f>
        <v>0</v>
      </c>
      <c r="W24" s="313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'4.11'!AM24</f>
        <v>0</v>
      </c>
      <c r="AN24" s="28"/>
      <c r="AO24" s="71">
        <f>'4.11'!AO24+'4.12'!AO24+'4.13'!AO24+'4.14'!AO24+'4.15'!AO24+'4.16'!AO24+'4.17'!AO24+'4.18'!AO24+'4.19'!AO24+'4.20'!AO24</f>
        <v>0</v>
      </c>
      <c r="AP24" s="71">
        <f>'4.11'!AP24+'4.12'!AP24+'4.13'!AP24+'4.14'!AP24+'4.15'!AP24+'4.16'!AP24+'4.17'!AP24+'4.18'!AP24+'4.19'!AP24+'4.20'!AP24</f>
        <v>0</v>
      </c>
      <c r="AQ24" s="53">
        <f>AM24+AN24+AO24-AP24</f>
        <v>0</v>
      </c>
      <c r="AR24" s="71">
        <f>'4.20'!AR24</f>
        <v>0</v>
      </c>
      <c r="AS24" s="155">
        <f>ROUND(AR24-AQ24,2)</f>
        <v>0</v>
      </c>
    </row>
    <row r="25" spans="1:45" ht="18" customHeight="1">
      <c r="A25" s="289"/>
      <c r="B25" s="293"/>
      <c r="C25" s="277"/>
      <c r="D25" s="277"/>
      <c r="E25" s="313">
        <f>'4.11'!E25+'4.12'!E25+'4.13'!E25+'4.14'!E25+'4.15'!E25+'4.16'!E25+'4.17'!E25+'4.18'!E25+'4.19'!E25+'4.20'!E25</f>
        <v>0</v>
      </c>
      <c r="F25" s="313">
        <f>'4.11'!F25+'4.12'!F25+'4.13'!F25+'4.14'!F25+'4.15'!F25+'4.16'!F25+'4.17'!F25+'4.18'!F25+'4.19'!F25+'4.20'!F25</f>
        <v>0</v>
      </c>
      <c r="G25" s="46" t="s">
        <v>166</v>
      </c>
      <c r="H25" s="58">
        <f>'4.11'!H25</f>
        <v>0</v>
      </c>
      <c r="I25" s="76"/>
      <c r="J25" s="49"/>
      <c r="K25" s="32">
        <f>'4.20'!K25</f>
        <v>0</v>
      </c>
      <c r="L25" s="32">
        <f>'4.11'!L25+'4.12'!L25+'4.13'!L25+'4.14'!L25+'4.15'!L25+'4.16'!L25+'4.17'!L25+'4.18'!L25+'4.19'!L25+'4.20'!L25</f>
        <v>0</v>
      </c>
      <c r="M25" s="277">
        <f>'4.11'!M25+'4.12'!M25+'4.13'!M25+'4.14'!M25+'4.15'!M25+'4.16'!M25+'4.17'!M25+'4.18'!M25+'4.19'!M25+'4.20'!M25</f>
        <v>0</v>
      </c>
      <c r="N25" s="277">
        <f>'4.11'!N25+'4.12'!N25+'4.13'!N25+'4.14'!N25+'4.15'!N25+'4.16'!N25+'4.17'!N25+'4.18'!N25+'4.19'!N25+'4.20'!N25</f>
        <v>0</v>
      </c>
      <c r="O25" s="277"/>
      <c r="P25" s="277"/>
      <c r="Q25" s="277"/>
      <c r="R25" s="277"/>
      <c r="S25" s="313">
        <f>'4.20'!S25</f>
        <v>0</v>
      </c>
      <c r="T25" s="313">
        <f>'4.20'!T25</f>
        <v>0</v>
      </c>
      <c r="U25" s="277"/>
      <c r="V25" s="277">
        <f>'4.20'!U25-'4.11'!U25</f>
        <v>0</v>
      </c>
      <c r="W25" s="313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240</v>
      </c>
      <c r="AN25" s="141" t="s">
        <v>241</v>
      </c>
      <c r="AO25" s="28" t="s">
        <v>169</v>
      </c>
      <c r="AP25" s="28" t="s">
        <v>242</v>
      </c>
      <c r="AQ25" s="28" t="s">
        <v>243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'4.11'!C26</f>
        <v>21204.52</v>
      </c>
      <c r="D26" s="277">
        <f>'4.20'!D26</f>
        <v>0</v>
      </c>
      <c r="E26" s="440">
        <f>'4.11'!E26+'4.12'!E26+'4.13'!E26+'4.14'!E26+'4.15'!E26+'4.16'!E26+'4.17'!E26+'4.18'!E26+'4.19'!E26+'4.20'!E26</f>
        <v>0</v>
      </c>
      <c r="F26" s="441">
        <f>'4.11'!F26+'4.12'!F26+'4.13'!F26+'4.14'!F26+'4.15'!F26+'4.16'!F26+'4.17'!F26+'4.18'!F26+'4.19'!F26+'4.20'!F26</f>
        <v>0</v>
      </c>
      <c r="G26" s="28" t="s">
        <v>175</v>
      </c>
      <c r="H26" s="58">
        <f>'4.11'!H26</f>
        <v>0</v>
      </c>
      <c r="I26" s="76"/>
      <c r="J26" s="49"/>
      <c r="K26" s="32">
        <f>'4.20'!K26</f>
        <v>0</v>
      </c>
      <c r="L26" s="32">
        <f>'4.11'!L26+'4.12'!L26+'4.13'!L26+'4.14'!L26+'4.15'!L26+'4.16'!L26+'4.17'!L26+'4.18'!L26+'4.19'!L26+'4.20'!L26</f>
        <v>0</v>
      </c>
      <c r="M26" s="277">
        <f>'4.11'!M26+'4.12'!M26+'4.13'!M26+'4.14'!M26+'4.15'!M26+'4.16'!M26+'4.17'!M26+'4.18'!M26+'4.19'!M26+'4.20'!M26</f>
        <v>0</v>
      </c>
      <c r="N26" s="277">
        <f>'4.11'!N26+'4.12'!N26+'4.13'!N26+'4.14'!N26+'4.15'!N26+'4.16'!N26+'4.17'!N26+'4.18'!N26+'4.19'!N26+'4.20'!N26</f>
        <v>0</v>
      </c>
      <c r="O26" s="277">
        <f>M26</f>
        <v>0</v>
      </c>
      <c r="P26" s="277"/>
      <c r="Q26" s="277">
        <f>C26+E26-O26</f>
        <v>21204.52</v>
      </c>
      <c r="R26" s="277"/>
      <c r="S26" s="313">
        <f>'4.20'!S26</f>
        <v>0</v>
      </c>
      <c r="T26" s="313">
        <f>'4.20'!T26</f>
        <v>0</v>
      </c>
      <c r="U26" s="53">
        <f>S26-Q26</f>
        <v>-21204.52</v>
      </c>
      <c r="V26" s="53">
        <f>'4.20'!U26-'4.11'!U26</f>
        <v>0</v>
      </c>
      <c r="W26" s="32">
        <f>'4.20'!W26</f>
        <v>0</v>
      </c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'4.11'!AM26</f>
        <v>0</v>
      </c>
      <c r="AN26" s="110"/>
      <c r="AO26" s="157">
        <f>'4.11'!AO26+'4.12'!AO26+'4.13'!AO26+'4.14'!AO26+'4.15'!AO26+'4.16'!AO26+'4.17'!AO26+'4.18'!AO26+'4.19'!AO26+'4.20'!AO26</f>
        <v>0</v>
      </c>
      <c r="AP26" s="157">
        <f>'4.11'!AP26+'4.12'!AP26+'4.13'!AP26+'4.14'!AP26+'4.15'!AP26+'4.16'!AP26+'4.17'!AP26+'4.18'!AP26+'4.19'!AP26+'4.20'!AP26</f>
        <v>0</v>
      </c>
      <c r="AQ26" s="147">
        <f>AM26+AN26+AO26-AP26</f>
        <v>0</v>
      </c>
      <c r="AR26" s="152">
        <f>'4.20'!AR26</f>
        <v>0</v>
      </c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X19:AL22"/>
    <mergeCell ref="A1:AN2"/>
    <mergeCell ref="AO1:AS2"/>
    <mergeCell ref="A3:B5"/>
    <mergeCell ref="X17:AL18"/>
    <mergeCell ref="A15:AL16"/>
    <mergeCell ref="V10:W13"/>
    <mergeCell ref="E10:F14"/>
    <mergeCell ref="AB10:AF14"/>
    <mergeCell ref="A12:B14"/>
    <mergeCell ref="C19:D22"/>
    <mergeCell ref="E19:F22"/>
    <mergeCell ref="O19:P22"/>
    <mergeCell ref="Q19:R22"/>
    <mergeCell ref="S19:T22"/>
    <mergeCell ref="C17:D18"/>
    <mergeCell ref="E17:F18"/>
    <mergeCell ref="Q17:R18"/>
    <mergeCell ref="S17:T18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41" priority="1" operator="notEqual">
      <formula>0</formula>
    </cfRule>
  </conditionalFormatting>
  <conditionalFormatting sqref="W14">
    <cfRule type="cellIs" dxfId="40" priority="2" operator="notEqual">
      <formula>0</formula>
    </cfRule>
  </conditionalFormatting>
  <conditionalFormatting sqref="AS14 AS16 AS18 AS20 AS22 AS24 AS26 AS12 K11 AS6 AS8 AS10 AA13">
    <cfRule type="cellIs" dxfId="39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TODAY()&lt;--"2025-4-25"</formula1>
    </dataValidation>
  </dataValidations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'4.20'!AO1:AS2+1</f>
        <v>45768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'4.20'!K6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'4.20'!AK6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'4.20'!K7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'4.20'!K8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'4.20'!AQ8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'4.20'!K9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'4.20'!P9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'4.20'!U9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'4.20'!Z9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'4.20'!AF9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'4.20'!AK9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'4.20'!AK12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'4.20'!AQ12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'4.20'!AQ14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'4.20'!AQ16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'4.20'!AQ18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'4.20'!Q19</f>
        <v>779060.67</v>
      </c>
      <c r="D19" s="277"/>
      <c r="E19" s="267"/>
      <c r="F19" s="267"/>
      <c r="G19" s="46" t="s">
        <v>139</v>
      </c>
      <c r="H19" s="58">
        <f>'4.20'!K19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U19-'4.20'!U19:U22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'4.20'!Q20</f>
        <v>0</v>
      </c>
      <c r="D20" s="277"/>
      <c r="E20" s="267"/>
      <c r="F20" s="267"/>
      <c r="G20" s="46" t="s">
        <v>147</v>
      </c>
      <c r="H20" s="58">
        <f>'4.20'!K20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'4.20'!AQ20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'4.20'!Q21</f>
        <v>0</v>
      </c>
      <c r="D21" s="277"/>
      <c r="E21" s="267"/>
      <c r="F21" s="267"/>
      <c r="G21" s="46" t="s">
        <v>148</v>
      </c>
      <c r="H21" s="58">
        <f>'4.20'!K21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'4.20'!Q22</f>
        <v>0</v>
      </c>
      <c r="D22" s="277"/>
      <c r="E22" s="267"/>
      <c r="F22" s="267"/>
      <c r="G22" s="46" t="s">
        <v>156</v>
      </c>
      <c r="H22" s="58">
        <f>'4.20'!K22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'4.20'!AQ22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'4.20'!Q23</f>
        <v>345566.13</v>
      </c>
      <c r="D23" s="277"/>
      <c r="E23" s="267"/>
      <c r="F23" s="267"/>
      <c r="G23" s="46" t="s">
        <v>157</v>
      </c>
      <c r="H23" s="58">
        <f>'4.20'!K23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U23-'4.20'!U23:U25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'4.20'!Q24</f>
        <v>0</v>
      </c>
      <c r="D24" s="277"/>
      <c r="E24" s="267"/>
      <c r="F24" s="267"/>
      <c r="G24" s="46" t="s">
        <v>137</v>
      </c>
      <c r="H24" s="58">
        <f>'4.20'!K24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'4.20'!AQ24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'4.20'!Q25</f>
        <v>0</v>
      </c>
      <c r="D25" s="277"/>
      <c r="E25" s="267"/>
      <c r="F25" s="267"/>
      <c r="G25" s="46" t="s">
        <v>166</v>
      </c>
      <c r="H25" s="58">
        <f>'4.20'!K25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'4.20'!Q26</f>
        <v>21204.52</v>
      </c>
      <c r="D26" s="277"/>
      <c r="E26" s="278"/>
      <c r="F26" s="279"/>
      <c r="G26" s="28" t="s">
        <v>175</v>
      </c>
      <c r="H26" s="58">
        <f>'4.20'!K26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U26-'4.20'!U26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'4.20'!AQ26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38" priority="1" operator="notEqual">
      <formula>0</formula>
    </cfRule>
  </conditionalFormatting>
  <conditionalFormatting sqref="W14">
    <cfRule type="cellIs" dxfId="37" priority="2" operator="notEqual">
      <formula>0</formula>
    </cfRule>
  </conditionalFormatting>
  <conditionalFormatting sqref="AS14 AS16 AS18 AS20 AS22 AS24 AS26 AS12 K11 AS6 AS8 AS10 AA13">
    <cfRule type="cellIs" dxfId="36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'4.21'!AO1:AS2+1</f>
        <v>45769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'4.21'!K6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'4.21'!AK6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'4.21'!K7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'4.21'!K8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'4.21'!AQ8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'4.21'!K9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'4.21'!P9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'4.21'!U9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'4.21'!Z9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'4.21'!AF9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'4.21'!AK9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'4.21'!AK12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'4.21'!AQ12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'4.21'!AQ14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'4.21'!AQ16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'4.21'!AQ18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'4.21'!Q19</f>
        <v>779060.67</v>
      </c>
      <c r="D19" s="277"/>
      <c r="E19" s="267"/>
      <c r="F19" s="267"/>
      <c r="G19" s="46" t="s">
        <v>139</v>
      </c>
      <c r="H19" s="58">
        <f>'4.21'!K19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U19-'4.21'!U19:U22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'4.21'!Q20</f>
        <v>0</v>
      </c>
      <c r="D20" s="277"/>
      <c r="E20" s="267"/>
      <c r="F20" s="267"/>
      <c r="G20" s="46" t="s">
        <v>147</v>
      </c>
      <c r="H20" s="58">
        <f>'4.21'!K20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'4.21'!AQ20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'4.21'!Q21</f>
        <v>0</v>
      </c>
      <c r="D21" s="277"/>
      <c r="E21" s="267"/>
      <c r="F21" s="267"/>
      <c r="G21" s="46" t="s">
        <v>148</v>
      </c>
      <c r="H21" s="58">
        <f>'4.21'!K21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'4.21'!Q22</f>
        <v>0</v>
      </c>
      <c r="D22" s="277"/>
      <c r="E22" s="267"/>
      <c r="F22" s="267"/>
      <c r="G22" s="46" t="s">
        <v>156</v>
      </c>
      <c r="H22" s="58">
        <f>'4.21'!K22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'4.21'!AQ22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'4.21'!Q23</f>
        <v>345566.13</v>
      </c>
      <c r="D23" s="277"/>
      <c r="E23" s="267"/>
      <c r="F23" s="267"/>
      <c r="G23" s="46" t="s">
        <v>157</v>
      </c>
      <c r="H23" s="58">
        <f>'4.21'!K23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U23-'4.21'!U23:U25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'4.21'!Q24</f>
        <v>0</v>
      </c>
      <c r="D24" s="277"/>
      <c r="E24" s="267"/>
      <c r="F24" s="267"/>
      <c r="G24" s="46" t="s">
        <v>137</v>
      </c>
      <c r="H24" s="58">
        <f>'4.21'!K24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'4.21'!AQ24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'4.21'!Q25</f>
        <v>0</v>
      </c>
      <c r="D25" s="277"/>
      <c r="E25" s="267"/>
      <c r="F25" s="267"/>
      <c r="G25" s="46" t="s">
        <v>166</v>
      </c>
      <c r="H25" s="58">
        <f>'4.21'!K25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'4.21'!Q26</f>
        <v>21204.52</v>
      </c>
      <c r="D26" s="277"/>
      <c r="E26" s="278"/>
      <c r="F26" s="279"/>
      <c r="G26" s="28" t="s">
        <v>175</v>
      </c>
      <c r="H26" s="58">
        <f>'4.21'!K26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U26-'4.21'!U26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'4.21'!AQ26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35" priority="1" operator="notEqual">
      <formula>0</formula>
    </cfRule>
  </conditionalFormatting>
  <conditionalFormatting sqref="W14">
    <cfRule type="cellIs" dxfId="34" priority="2" operator="notEqual">
      <formula>0</formula>
    </cfRule>
  </conditionalFormatting>
  <conditionalFormatting sqref="AS14 AS16 AS18 AS20 AS22 AS24 AS26 AS12 K11 AS6 AS8 AS10 AA13">
    <cfRule type="cellIs" dxfId="33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'4.22'!AO1:AS2+1</f>
        <v>45770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'4.22'!K6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'4.22'!AK6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'4.22'!K7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'4.22'!K8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'4.22'!AQ8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'4.22'!K9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'4.22'!P9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'4.22'!U9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'4.22'!Z9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'4.22'!AF9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'4.22'!AK9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'4.22'!AK12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'4.22'!AQ12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'4.22'!AQ14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'4.22'!AQ16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'4.22'!AQ18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'4.22'!Q19</f>
        <v>779060.67</v>
      </c>
      <c r="D19" s="277"/>
      <c r="E19" s="267"/>
      <c r="F19" s="267"/>
      <c r="G19" s="46" t="s">
        <v>139</v>
      </c>
      <c r="H19" s="58">
        <f>'4.22'!K19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U19-'4.22'!U19:U22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'4.22'!Q20</f>
        <v>0</v>
      </c>
      <c r="D20" s="277"/>
      <c r="E20" s="267"/>
      <c r="F20" s="267"/>
      <c r="G20" s="46" t="s">
        <v>147</v>
      </c>
      <c r="H20" s="58">
        <f>'4.22'!K20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'4.22'!AQ20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'4.22'!Q21</f>
        <v>0</v>
      </c>
      <c r="D21" s="277"/>
      <c r="E21" s="267"/>
      <c r="F21" s="267"/>
      <c r="G21" s="46" t="s">
        <v>148</v>
      </c>
      <c r="H21" s="58">
        <f>'4.22'!K21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'4.22'!Q22</f>
        <v>0</v>
      </c>
      <c r="D22" s="277"/>
      <c r="E22" s="267"/>
      <c r="F22" s="267"/>
      <c r="G22" s="46" t="s">
        <v>156</v>
      </c>
      <c r="H22" s="58">
        <f>'4.22'!K22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'4.22'!AQ22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'4.22'!Q23</f>
        <v>345566.13</v>
      </c>
      <c r="D23" s="277"/>
      <c r="E23" s="267"/>
      <c r="F23" s="267"/>
      <c r="G23" s="46" t="s">
        <v>157</v>
      </c>
      <c r="H23" s="58">
        <f>'4.22'!K23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U23-'4.22'!U23:U25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'4.22'!Q24</f>
        <v>0</v>
      </c>
      <c r="D24" s="277"/>
      <c r="E24" s="267"/>
      <c r="F24" s="267"/>
      <c r="G24" s="46" t="s">
        <v>137</v>
      </c>
      <c r="H24" s="58">
        <f>'4.22'!K24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'4.22'!AQ24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'4.22'!Q25</f>
        <v>0</v>
      </c>
      <c r="D25" s="277"/>
      <c r="E25" s="267"/>
      <c r="F25" s="267"/>
      <c r="G25" s="46" t="s">
        <v>166</v>
      </c>
      <c r="H25" s="58">
        <f>'4.22'!K25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'4.22'!Q26</f>
        <v>21204.52</v>
      </c>
      <c r="D26" s="277"/>
      <c r="E26" s="278"/>
      <c r="F26" s="279"/>
      <c r="G26" s="28" t="s">
        <v>175</v>
      </c>
      <c r="H26" s="58">
        <f>'4.22'!K26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U26-'4.22'!U26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'4.22'!AQ26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32" priority="1" operator="notEqual">
      <formula>0</formula>
    </cfRule>
  </conditionalFormatting>
  <conditionalFormatting sqref="W14">
    <cfRule type="cellIs" dxfId="31" priority="2" operator="notEqual">
      <formula>0</formula>
    </cfRule>
  </conditionalFormatting>
  <conditionalFormatting sqref="AS14 AS16 AS18 AS20 AS22 AS24 AS26 AS12 K11 AS6 AS8 AS10 AA13">
    <cfRule type="cellIs" dxfId="30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'4.23'!AO1:AS2+1</f>
        <v>45771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'4.23'!K6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'4.23'!AK6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'4.23'!K7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'4.23'!K8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'4.23'!AQ8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'4.23'!K9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'4.23'!P9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'4.23'!U9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'4.23'!Z9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'4.23'!AF9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'4.23'!AK9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'4.23'!AK12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'4.23'!AQ12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'4.23'!AQ14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'4.23'!AQ16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'4.23'!AQ18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'4.23'!Q19</f>
        <v>779060.67</v>
      </c>
      <c r="D19" s="277"/>
      <c r="E19" s="267"/>
      <c r="F19" s="267"/>
      <c r="G19" s="46" t="s">
        <v>139</v>
      </c>
      <c r="H19" s="58">
        <f>'4.23'!K19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U19-'4.23'!U19:U22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'4.23'!Q20</f>
        <v>0</v>
      </c>
      <c r="D20" s="277"/>
      <c r="E20" s="267"/>
      <c r="F20" s="267"/>
      <c r="G20" s="46" t="s">
        <v>147</v>
      </c>
      <c r="H20" s="58">
        <f>'4.23'!K20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'4.23'!AQ20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'4.23'!Q21</f>
        <v>0</v>
      </c>
      <c r="D21" s="277"/>
      <c r="E21" s="267"/>
      <c r="F21" s="267"/>
      <c r="G21" s="46" t="s">
        <v>148</v>
      </c>
      <c r="H21" s="58">
        <f>'4.23'!K21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'4.23'!Q22</f>
        <v>0</v>
      </c>
      <c r="D22" s="277"/>
      <c r="E22" s="267"/>
      <c r="F22" s="267"/>
      <c r="G22" s="46" t="s">
        <v>156</v>
      </c>
      <c r="H22" s="58">
        <f>'4.23'!K22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'4.23'!AQ22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'4.23'!Q23</f>
        <v>345566.13</v>
      </c>
      <c r="D23" s="277"/>
      <c r="E23" s="267"/>
      <c r="F23" s="267"/>
      <c r="G23" s="46" t="s">
        <v>157</v>
      </c>
      <c r="H23" s="58">
        <f>'4.23'!K23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U23-'4.23'!U23:U25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'4.23'!Q24</f>
        <v>0</v>
      </c>
      <c r="D24" s="277"/>
      <c r="E24" s="267"/>
      <c r="F24" s="267"/>
      <c r="G24" s="46" t="s">
        <v>137</v>
      </c>
      <c r="H24" s="58">
        <f>'4.23'!K24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'4.23'!AQ24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'4.23'!Q25</f>
        <v>0</v>
      </c>
      <c r="D25" s="277"/>
      <c r="E25" s="267"/>
      <c r="F25" s="267"/>
      <c r="G25" s="46" t="s">
        <v>166</v>
      </c>
      <c r="H25" s="58">
        <f>'4.23'!K25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'4.23'!Q26</f>
        <v>21204.52</v>
      </c>
      <c r="D26" s="277"/>
      <c r="E26" s="278"/>
      <c r="F26" s="279"/>
      <c r="G26" s="28" t="s">
        <v>175</v>
      </c>
      <c r="H26" s="58">
        <f>'4.23'!K26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U26-'4.23'!U26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'4.23'!AQ26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29" priority="1" operator="notEqual">
      <formula>0</formula>
    </cfRule>
  </conditionalFormatting>
  <conditionalFormatting sqref="W14">
    <cfRule type="cellIs" dxfId="28" priority="2" operator="notEqual">
      <formula>0</formula>
    </cfRule>
  </conditionalFormatting>
  <conditionalFormatting sqref="AS14 AS16 AS18 AS20 AS22 AS24 AS26 AS12 K11 AS6 AS8 AS10 AA13">
    <cfRule type="cellIs" dxfId="27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'4.24'!AO1:AS2+1</f>
        <v>45772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'4.24'!K6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'4.24'!AK6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'4.24'!K7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'4.24'!K8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'4.24'!AQ8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'4.24'!K9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'4.24'!P9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'4.24'!U9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'4.24'!Z9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'4.24'!AF9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'4.24'!AK9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'4.24'!AK12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'4.24'!AQ12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'4.24'!AQ14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'4.24'!AQ16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'4.24'!AQ18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'4.24'!Q19</f>
        <v>779060.67</v>
      </c>
      <c r="D19" s="277"/>
      <c r="E19" s="267"/>
      <c r="F19" s="267"/>
      <c r="G19" s="46" t="s">
        <v>139</v>
      </c>
      <c r="H19" s="58">
        <f>'4.24'!K19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U19-'4.24'!U19:U22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'4.24'!Q20</f>
        <v>0</v>
      </c>
      <c r="D20" s="277"/>
      <c r="E20" s="267"/>
      <c r="F20" s="267"/>
      <c r="G20" s="46" t="s">
        <v>147</v>
      </c>
      <c r="H20" s="58">
        <f>'4.24'!K20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'4.24'!AQ20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'4.24'!Q21</f>
        <v>0</v>
      </c>
      <c r="D21" s="277"/>
      <c r="E21" s="267"/>
      <c r="F21" s="267"/>
      <c r="G21" s="46" t="s">
        <v>148</v>
      </c>
      <c r="H21" s="58">
        <f>'4.24'!K21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'4.24'!Q22</f>
        <v>0</v>
      </c>
      <c r="D22" s="277"/>
      <c r="E22" s="267"/>
      <c r="F22" s="267"/>
      <c r="G22" s="46" t="s">
        <v>156</v>
      </c>
      <c r="H22" s="58">
        <f>'4.24'!K22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'4.24'!AQ22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'4.24'!Q23</f>
        <v>345566.13</v>
      </c>
      <c r="D23" s="277"/>
      <c r="E23" s="267"/>
      <c r="F23" s="267"/>
      <c r="G23" s="46" t="s">
        <v>157</v>
      </c>
      <c r="H23" s="58">
        <f>'4.24'!K23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U23-'4.24'!U23:U25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'4.24'!Q24</f>
        <v>0</v>
      </c>
      <c r="D24" s="277"/>
      <c r="E24" s="267"/>
      <c r="F24" s="267"/>
      <c r="G24" s="46" t="s">
        <v>137</v>
      </c>
      <c r="H24" s="58">
        <f>'4.24'!K24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'4.24'!AQ24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'4.24'!Q25</f>
        <v>0</v>
      </c>
      <c r="D25" s="277"/>
      <c r="E25" s="267"/>
      <c r="F25" s="267"/>
      <c r="G25" s="46" t="s">
        <v>166</v>
      </c>
      <c r="H25" s="58">
        <f>'4.24'!K25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'4.24'!Q26</f>
        <v>21204.52</v>
      </c>
      <c r="D26" s="277"/>
      <c r="E26" s="278"/>
      <c r="F26" s="279"/>
      <c r="G26" s="28" t="s">
        <v>175</v>
      </c>
      <c r="H26" s="58">
        <f>'4.24'!K26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U26-'4.24'!U26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'4.24'!AQ26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26" priority="1" operator="notEqual">
      <formula>0</formula>
    </cfRule>
  </conditionalFormatting>
  <conditionalFormatting sqref="W14">
    <cfRule type="cellIs" dxfId="25" priority="2" operator="notEqual">
      <formula>0</formula>
    </cfRule>
  </conditionalFormatting>
  <conditionalFormatting sqref="AS14 AS16 AS18 AS20 AS22 AS24 AS26 AS12 K11 AS6 AS8 AS10 AA13">
    <cfRule type="cellIs" dxfId="24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'4.25'!AO1:AS2+1</f>
        <v>45773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'4.25'!K6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'4.25'!AK6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'4.25'!K7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'4.25'!K8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'4.25'!AQ8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'4.25'!K9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'4.25'!P9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'4.25'!U9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'4.25'!Z9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'4.25'!AF9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'4.25'!AK9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'4.25'!AK12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'4.25'!AQ12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'4.25'!AQ14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'4.25'!AQ16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'4.25'!AQ18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'4.25'!Q19</f>
        <v>779060.67</v>
      </c>
      <c r="D19" s="277"/>
      <c r="E19" s="267"/>
      <c r="F19" s="267"/>
      <c r="G19" s="46" t="s">
        <v>139</v>
      </c>
      <c r="H19" s="58">
        <f>'4.25'!K19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U19-'4.25'!U19:U22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'4.25'!Q20</f>
        <v>0</v>
      </c>
      <c r="D20" s="277"/>
      <c r="E20" s="267"/>
      <c r="F20" s="267"/>
      <c r="G20" s="46" t="s">
        <v>147</v>
      </c>
      <c r="H20" s="58">
        <f>'4.25'!K20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'4.25'!AQ20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'4.25'!Q21</f>
        <v>0</v>
      </c>
      <c r="D21" s="277"/>
      <c r="E21" s="267"/>
      <c r="F21" s="267"/>
      <c r="G21" s="46" t="s">
        <v>148</v>
      </c>
      <c r="H21" s="58">
        <f>'4.25'!K21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'4.25'!Q22</f>
        <v>0</v>
      </c>
      <c r="D22" s="277"/>
      <c r="E22" s="267"/>
      <c r="F22" s="267"/>
      <c r="G22" s="46" t="s">
        <v>156</v>
      </c>
      <c r="H22" s="58">
        <f>'4.25'!K22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'4.25'!AQ22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'4.25'!Q23</f>
        <v>345566.13</v>
      </c>
      <c r="D23" s="277"/>
      <c r="E23" s="267"/>
      <c r="F23" s="267"/>
      <c r="G23" s="46" t="s">
        <v>157</v>
      </c>
      <c r="H23" s="58">
        <f>'4.25'!K23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U23-'4.25'!U23:U25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'4.25'!Q24</f>
        <v>0</v>
      </c>
      <c r="D24" s="277"/>
      <c r="E24" s="267"/>
      <c r="F24" s="267"/>
      <c r="G24" s="46" t="s">
        <v>137</v>
      </c>
      <c r="H24" s="58">
        <f>'4.25'!K24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'4.25'!AQ24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'4.25'!Q25</f>
        <v>0</v>
      </c>
      <c r="D25" s="277"/>
      <c r="E25" s="267"/>
      <c r="F25" s="267"/>
      <c r="G25" s="46" t="s">
        <v>166</v>
      </c>
      <c r="H25" s="58">
        <f>'4.25'!K25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'4.25'!Q26</f>
        <v>21204.52</v>
      </c>
      <c r="D26" s="277"/>
      <c r="E26" s="278"/>
      <c r="F26" s="279"/>
      <c r="G26" s="28" t="s">
        <v>175</v>
      </c>
      <c r="H26" s="58">
        <f>'4.25'!K26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U26-'4.25'!U26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'4.25'!AQ26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23" priority="1" operator="notEqual">
      <formula>0</formula>
    </cfRule>
  </conditionalFormatting>
  <conditionalFormatting sqref="W14">
    <cfRule type="cellIs" dxfId="22" priority="2" operator="notEqual">
      <formula>0</formula>
    </cfRule>
  </conditionalFormatting>
  <conditionalFormatting sqref="AS14 AS16 AS18 AS20 AS22 AS24 AS26 AS12 K11 AS6 AS8 AS10 AA13">
    <cfRule type="cellIs" dxfId="21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'4.26'!AO1:AS2+1</f>
        <v>45774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'4.26'!K6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'4.26'!AK6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'4.26'!K7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'4.26'!K8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'4.26'!AQ8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'4.26'!K9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'4.26'!P9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'4.26'!U9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'4.26'!Z9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'4.26'!AF9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'4.26'!AK9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'4.26'!AK12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'4.26'!AQ12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'4.26'!AQ14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'4.26'!AQ16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'4.26'!AQ18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'4.26'!Q19</f>
        <v>779060.67</v>
      </c>
      <c r="D19" s="277"/>
      <c r="E19" s="267"/>
      <c r="F19" s="267"/>
      <c r="G19" s="46" t="s">
        <v>139</v>
      </c>
      <c r="H19" s="58">
        <f>'4.26'!K19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U19-'4.26'!U19:U22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'4.26'!Q20</f>
        <v>0</v>
      </c>
      <c r="D20" s="277"/>
      <c r="E20" s="267"/>
      <c r="F20" s="267"/>
      <c r="G20" s="46" t="s">
        <v>147</v>
      </c>
      <c r="H20" s="58">
        <f>'4.26'!K20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'4.26'!AQ20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'4.26'!Q21</f>
        <v>0</v>
      </c>
      <c r="D21" s="277"/>
      <c r="E21" s="267"/>
      <c r="F21" s="267"/>
      <c r="G21" s="46" t="s">
        <v>148</v>
      </c>
      <c r="H21" s="58">
        <f>'4.26'!K21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'4.26'!Q22</f>
        <v>0</v>
      </c>
      <c r="D22" s="277"/>
      <c r="E22" s="267"/>
      <c r="F22" s="267"/>
      <c r="G22" s="46" t="s">
        <v>156</v>
      </c>
      <c r="H22" s="58">
        <f>'4.26'!K22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'4.26'!AQ22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'4.26'!Q23</f>
        <v>345566.13</v>
      </c>
      <c r="D23" s="277"/>
      <c r="E23" s="267"/>
      <c r="F23" s="267"/>
      <c r="G23" s="46" t="s">
        <v>157</v>
      </c>
      <c r="H23" s="58">
        <f>'4.26'!K23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U23-'4.26'!U23:U25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'4.26'!Q24</f>
        <v>0</v>
      </c>
      <c r="D24" s="277"/>
      <c r="E24" s="267"/>
      <c r="F24" s="267"/>
      <c r="G24" s="46" t="s">
        <v>137</v>
      </c>
      <c r="H24" s="58">
        <f>'4.26'!K24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'4.26'!AQ24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'4.26'!Q25</f>
        <v>0</v>
      </c>
      <c r="D25" s="277"/>
      <c r="E25" s="267"/>
      <c r="F25" s="267"/>
      <c r="G25" s="46" t="s">
        <v>166</v>
      </c>
      <c r="H25" s="58">
        <f>'4.26'!K25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'4.26'!Q26</f>
        <v>21204.52</v>
      </c>
      <c r="D26" s="277"/>
      <c r="E26" s="278"/>
      <c r="F26" s="279"/>
      <c r="G26" s="28" t="s">
        <v>175</v>
      </c>
      <c r="H26" s="58">
        <f>'4.26'!K26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U26-'4.26'!U26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'4.26'!AQ26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20" priority="1" operator="notEqual">
      <formula>0</formula>
    </cfRule>
  </conditionalFormatting>
  <conditionalFormatting sqref="W14">
    <cfRule type="cellIs" dxfId="19" priority="2" operator="notEqual">
      <formula>0</formula>
    </cfRule>
  </conditionalFormatting>
  <conditionalFormatting sqref="AS14 AS16 AS18 AS20 AS22 AS24 AS26 AS12 K11 AS6 AS8 AS10 AA13">
    <cfRule type="cellIs" dxfId="18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'4.27'!AO1:AS2+1</f>
        <v>45775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'4.27'!K6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'4.27'!AK6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'4.27'!K7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'4.27'!K8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'4.27'!AQ8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'4.27'!K9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'4.27'!P9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'4.27'!U9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'4.27'!Z9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'4.27'!AF9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'4.27'!AK9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'4.27'!AK12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'4.27'!AQ12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'4.27'!AQ14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'4.27'!AQ16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'4.27'!AQ18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'4.27'!Q19</f>
        <v>779060.67</v>
      </c>
      <c r="D19" s="277"/>
      <c r="E19" s="267"/>
      <c r="F19" s="267"/>
      <c r="G19" s="46" t="s">
        <v>139</v>
      </c>
      <c r="H19" s="58">
        <f>'4.27'!K19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U19-'4.27'!U19:U22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'4.27'!Q20</f>
        <v>0</v>
      </c>
      <c r="D20" s="277"/>
      <c r="E20" s="267"/>
      <c r="F20" s="267"/>
      <c r="G20" s="46" t="s">
        <v>147</v>
      </c>
      <c r="H20" s="58">
        <f>'4.27'!K20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'4.27'!AQ20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'4.27'!Q21</f>
        <v>0</v>
      </c>
      <c r="D21" s="277"/>
      <c r="E21" s="267"/>
      <c r="F21" s="267"/>
      <c r="G21" s="46" t="s">
        <v>148</v>
      </c>
      <c r="H21" s="58">
        <f>'4.27'!K21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'4.27'!Q22</f>
        <v>0</v>
      </c>
      <c r="D22" s="277"/>
      <c r="E22" s="267"/>
      <c r="F22" s="267"/>
      <c r="G22" s="46" t="s">
        <v>156</v>
      </c>
      <c r="H22" s="58">
        <f>'4.27'!K22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'4.27'!AQ22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'4.27'!Q23</f>
        <v>345566.13</v>
      </c>
      <c r="D23" s="277"/>
      <c r="E23" s="267"/>
      <c r="F23" s="267"/>
      <c r="G23" s="46" t="s">
        <v>157</v>
      </c>
      <c r="H23" s="58">
        <f>'4.27'!K23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U23-'4.27'!U23:U25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'4.27'!Q24</f>
        <v>0</v>
      </c>
      <c r="D24" s="277"/>
      <c r="E24" s="267"/>
      <c r="F24" s="267"/>
      <c r="G24" s="46" t="s">
        <v>137</v>
      </c>
      <c r="H24" s="58">
        <f>'4.27'!K24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'4.27'!AQ24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'4.27'!Q25</f>
        <v>0</v>
      </c>
      <c r="D25" s="277"/>
      <c r="E25" s="267"/>
      <c r="F25" s="267"/>
      <c r="G25" s="46" t="s">
        <v>166</v>
      </c>
      <c r="H25" s="58">
        <f>'4.27'!K25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'4.27'!Q26</f>
        <v>21204.52</v>
      </c>
      <c r="D26" s="277"/>
      <c r="E26" s="278"/>
      <c r="F26" s="279"/>
      <c r="G26" s="28" t="s">
        <v>175</v>
      </c>
      <c r="H26" s="58">
        <f>'4.27'!K26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U26-'4.27'!U26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'4.27'!AQ26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17" priority="1" operator="notEqual">
      <formula>0</formula>
    </cfRule>
  </conditionalFormatting>
  <conditionalFormatting sqref="W14">
    <cfRule type="cellIs" dxfId="16" priority="2" operator="notEqual">
      <formula>0</formula>
    </cfRule>
  </conditionalFormatting>
  <conditionalFormatting sqref="AS14 AS16 AS18 AS20 AS22 AS24 AS26 AS12 K11 AS6 AS8 AS10 AA13">
    <cfRule type="cellIs" dxfId="15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'4.28'!AO1:AS2+1</f>
        <v>45776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'4.28'!K6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'4.28'!AK6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'4.28'!K7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'4.28'!K8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'4.28'!AQ8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'4.28'!K9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'4.28'!P9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'4.28'!U9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'4.28'!Z9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'4.28'!AF9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'4.28'!AK9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'4.28'!AK12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'4.28'!AQ12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'4.28'!AQ14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'4.28'!AQ16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'4.28'!AQ18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'4.28'!Q19</f>
        <v>779060.67</v>
      </c>
      <c r="D19" s="277"/>
      <c r="E19" s="267"/>
      <c r="F19" s="267"/>
      <c r="G19" s="46" t="s">
        <v>139</v>
      </c>
      <c r="H19" s="58">
        <f>'4.28'!K19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U19-'4.28'!U19:U22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'4.28'!Q20</f>
        <v>0</v>
      </c>
      <c r="D20" s="277"/>
      <c r="E20" s="267"/>
      <c r="F20" s="267"/>
      <c r="G20" s="46" t="s">
        <v>147</v>
      </c>
      <c r="H20" s="58">
        <f>'4.28'!K20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'4.28'!AQ20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'4.28'!Q21</f>
        <v>0</v>
      </c>
      <c r="D21" s="277"/>
      <c r="E21" s="267"/>
      <c r="F21" s="267"/>
      <c r="G21" s="46" t="s">
        <v>148</v>
      </c>
      <c r="H21" s="58">
        <f>'4.28'!K21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'4.28'!Q22</f>
        <v>0</v>
      </c>
      <c r="D22" s="277"/>
      <c r="E22" s="267"/>
      <c r="F22" s="267"/>
      <c r="G22" s="46" t="s">
        <v>156</v>
      </c>
      <c r="H22" s="58">
        <f>'4.28'!K22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'4.28'!AQ22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'4.28'!Q23</f>
        <v>345566.13</v>
      </c>
      <c r="D23" s="277"/>
      <c r="E23" s="267"/>
      <c r="F23" s="267"/>
      <c r="G23" s="46" t="s">
        <v>157</v>
      </c>
      <c r="H23" s="58">
        <f>'4.28'!K23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U23-'4.28'!U23:U25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'4.28'!Q24</f>
        <v>0</v>
      </c>
      <c r="D24" s="277"/>
      <c r="E24" s="267"/>
      <c r="F24" s="267"/>
      <c r="G24" s="46" t="s">
        <v>137</v>
      </c>
      <c r="H24" s="58">
        <f>'4.28'!K24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'4.28'!AQ24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'4.28'!Q25</f>
        <v>0</v>
      </c>
      <c r="D25" s="277"/>
      <c r="E25" s="267"/>
      <c r="F25" s="267"/>
      <c r="G25" s="46" t="s">
        <v>166</v>
      </c>
      <c r="H25" s="58">
        <f>'4.28'!K25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'4.28'!Q26</f>
        <v>21204.52</v>
      </c>
      <c r="D26" s="277"/>
      <c r="E26" s="278"/>
      <c r="F26" s="279"/>
      <c r="G26" s="28" t="s">
        <v>175</v>
      </c>
      <c r="H26" s="58">
        <f>'4.28'!K26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U26-'4.28'!U26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'4.28'!AQ26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14" priority="1" operator="notEqual">
      <formula>0</formula>
    </cfRule>
  </conditionalFormatting>
  <conditionalFormatting sqref="W14">
    <cfRule type="cellIs" dxfId="13" priority="2" operator="notEqual">
      <formula>0</formula>
    </cfRule>
  </conditionalFormatting>
  <conditionalFormatting sqref="AS14 AS16 AS18 AS20 AS22 AS24 AS26 AS12 K11 AS6 AS8 AS10 AA13">
    <cfRule type="cellIs" dxfId="12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AS27"/>
  <sheetViews>
    <sheetView topLeftCell="U1"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'4.29'!AO1:AS2+1</f>
        <v>45777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'4.29'!K6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'4.29'!AK6</f>
        <v>0</v>
      </c>
      <c r="AH6" s="194"/>
      <c r="AI6" s="195"/>
      <c r="AJ6" s="195"/>
      <c r="AK6" s="116">
        <f>AG6+AH6-AI6-AJ6+AH14-AI14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'4.29'!K7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'4.29'!K8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'4.29'!AQ8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'4.29'!K9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'4.29'!P9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'4.29'!U9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'4.29'!Z9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'4.29'!AF9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'4.29'!AK9</f>
        <v>0</v>
      </c>
      <c r="AH9" s="199"/>
      <c r="AI9" s="199"/>
      <c r="AJ9" s="199"/>
      <c r="AK9" s="125">
        <f>AG9+AH9-AI9-AJ9+AK14-AL14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72">
        <f>ROUND(K6+K7+K8-K9,2)</f>
        <v>-2947.28</v>
      </c>
      <c r="L11" s="164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309"/>
      <c r="L12" s="49" t="s">
        <v>87</v>
      </c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'4.29'!AK12</f>
        <v>0</v>
      </c>
      <c r="AH12" s="194"/>
      <c r="AI12" s="132">
        <f>AG12+AH12-AJ12-AK12</f>
        <v>0</v>
      </c>
      <c r="AJ12" s="194"/>
      <c r="AK12" s="207"/>
      <c r="AL12" s="340"/>
      <c r="AM12" s="134">
        <f>'4.29'!AQ12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164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208"/>
      <c r="AH14" s="138">
        <f>IF(AG14-AH6&gt;0,AG14-AH6,IF(AG14-AH6&lt;=0,0))</f>
        <v>0</v>
      </c>
      <c r="AI14" s="138">
        <f>IF(AH6-AG14&gt;0,AH6-AG14,IF(AH6-AG14&lt;=0,0))</f>
        <v>0</v>
      </c>
      <c r="AJ14" s="194"/>
      <c r="AK14" s="138">
        <f>IF(AJ14-AH9&gt;0,AJ14-AH9,IF(AJ14-AH9&lt;=0,0))</f>
        <v>0</v>
      </c>
      <c r="AL14" s="139">
        <f>IF(AH9-AJ14&gt;0,AH9-AJ14,IF(AJ14-AH9&lt;=0,0))</f>
        <v>0</v>
      </c>
      <c r="AM14" s="66">
        <f>'4.29'!AQ14</f>
        <v>102131.94</v>
      </c>
      <c r="AN14" s="38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'4.29'!AQ16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'4.29'!AQ18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'4.29'!Q19</f>
        <v>779060.67</v>
      </c>
      <c r="D19" s="277"/>
      <c r="E19" s="267"/>
      <c r="F19" s="267"/>
      <c r="G19" s="46" t="s">
        <v>139</v>
      </c>
      <c r="H19" s="58">
        <f>'4.29'!K19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U19-'4.29'!U19:U22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'4.29'!Q20</f>
        <v>0</v>
      </c>
      <c r="D20" s="277"/>
      <c r="E20" s="267"/>
      <c r="F20" s="267"/>
      <c r="G20" s="46" t="s">
        <v>147</v>
      </c>
      <c r="H20" s="58">
        <f>'4.29'!K20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'4.29'!AQ20</f>
        <v>0</v>
      </c>
      <c r="AN20" s="28"/>
      <c r="AO20" s="204"/>
      <c r="AP20" s="204"/>
      <c r="AQ20" s="53">
        <f>AM20+AN20+AO20-AP20</f>
        <v>0</v>
      </c>
      <c r="AR20" s="204"/>
      <c r="AS20" s="155">
        <f>ROUND(AR20-AQ20,2)</f>
        <v>0</v>
      </c>
    </row>
    <row r="21" spans="1:45" ht="18" customHeight="1">
      <c r="A21" s="286"/>
      <c r="B21" s="292"/>
      <c r="C21" s="277">
        <f>'4.29'!Q21</f>
        <v>0</v>
      </c>
      <c r="D21" s="277"/>
      <c r="E21" s="267"/>
      <c r="F21" s="267"/>
      <c r="G21" s="46" t="s">
        <v>148</v>
      </c>
      <c r="H21" s="58">
        <f>'4.29'!K21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'4.29'!Q22</f>
        <v>0</v>
      </c>
      <c r="D22" s="277"/>
      <c r="E22" s="267"/>
      <c r="F22" s="267"/>
      <c r="G22" s="46" t="s">
        <v>156</v>
      </c>
      <c r="H22" s="58">
        <f>'4.29'!K22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'4.29'!AQ22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'4.29'!Q23</f>
        <v>345566.13</v>
      </c>
      <c r="D23" s="277"/>
      <c r="E23" s="267"/>
      <c r="F23" s="267"/>
      <c r="G23" s="46" t="s">
        <v>157</v>
      </c>
      <c r="H23" s="58">
        <f>'4.29'!K23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U23-'4.29'!U23:U25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'4.29'!Q24</f>
        <v>0</v>
      </c>
      <c r="D24" s="277"/>
      <c r="E24" s="267"/>
      <c r="F24" s="267"/>
      <c r="G24" s="46" t="s">
        <v>137</v>
      </c>
      <c r="H24" s="58">
        <f>'4.29'!K24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'4.29'!AQ24</f>
        <v>0</v>
      </c>
      <c r="AN24" s="28"/>
      <c r="AO24" s="173"/>
      <c r="AP24" s="173"/>
      <c r="AQ24" s="53">
        <f>AM24+AN24+AO24-AP24</f>
        <v>0</v>
      </c>
      <c r="AR24" s="173"/>
      <c r="AS24" s="155">
        <f>ROUND(AR24-AQ24,2)</f>
        <v>0</v>
      </c>
    </row>
    <row r="25" spans="1:45" ht="18" customHeight="1">
      <c r="A25" s="289"/>
      <c r="B25" s="293"/>
      <c r="C25" s="277">
        <f>'4.29'!Q25</f>
        <v>0</v>
      </c>
      <c r="D25" s="277"/>
      <c r="E25" s="267"/>
      <c r="F25" s="267"/>
      <c r="G25" s="46" t="s">
        <v>166</v>
      </c>
      <c r="H25" s="58">
        <f>'4.29'!K25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'4.29'!Q26</f>
        <v>21204.52</v>
      </c>
      <c r="D26" s="277"/>
      <c r="E26" s="278"/>
      <c r="F26" s="279"/>
      <c r="G26" s="28" t="s">
        <v>175</v>
      </c>
      <c r="H26" s="58">
        <f>'4.29'!K26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U26-'4.29'!U26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'4.29'!AQ26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C19:D22"/>
    <mergeCell ref="E19:F22"/>
    <mergeCell ref="O19:P22"/>
    <mergeCell ref="Q19:R22"/>
    <mergeCell ref="S19:T22"/>
    <mergeCell ref="AO1:AS2"/>
    <mergeCell ref="A1:AN2"/>
    <mergeCell ref="A3:B5"/>
    <mergeCell ref="X19:AL22"/>
    <mergeCell ref="AB10:AF14"/>
    <mergeCell ref="A15:AL16"/>
    <mergeCell ref="V10:W13"/>
    <mergeCell ref="E10:F14"/>
    <mergeCell ref="X17:AL18"/>
    <mergeCell ref="C17:D18"/>
    <mergeCell ref="E17:F18"/>
    <mergeCell ref="Q17:R18"/>
    <mergeCell ref="S17:T18"/>
    <mergeCell ref="A12:B14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11" priority="1" operator="notEqual">
      <formula>0</formula>
    </cfRule>
  </conditionalFormatting>
  <conditionalFormatting sqref="W14">
    <cfRule type="cellIs" dxfId="10" priority="2" operator="notEqual">
      <formula>0</formula>
    </cfRule>
  </conditionalFormatting>
  <conditionalFormatting sqref="AS14 AS16 AS18 AS20 AS22 AS24 AS26 AS12 K11 AS6 AS8 AS10 AA13">
    <cfRule type="cellIs" dxfId="9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7030A0"/>
  </sheetPr>
  <dimension ref="A1:AS27"/>
  <sheetViews>
    <sheetView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346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4">
        <f>'4.30'!AO1:AS2+1</f>
        <v>45778</v>
      </c>
      <c r="AP1" s="344"/>
      <c r="AQ1" s="344"/>
      <c r="AR1" s="344"/>
      <c r="AS1" s="344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5"/>
      <c r="AP2" s="345"/>
      <c r="AQ2" s="345"/>
      <c r="AR2" s="345"/>
      <c r="AS2" s="345"/>
    </row>
    <row r="3" spans="1:45" ht="18" customHeight="1">
      <c r="A3" s="348"/>
      <c r="B3" s="349"/>
      <c r="C3" s="248" t="s">
        <v>1</v>
      </c>
      <c r="D3" s="249" t="s">
        <v>2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11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15</v>
      </c>
      <c r="L4" s="251" t="s">
        <v>11</v>
      </c>
      <c r="M4" s="301" t="s">
        <v>16</v>
      </c>
      <c r="N4" s="301" t="s">
        <v>17</v>
      </c>
      <c r="O4" s="301" t="s">
        <v>18</v>
      </c>
      <c r="P4" s="295" t="s">
        <v>15</v>
      </c>
      <c r="Q4" s="251" t="s">
        <v>11</v>
      </c>
      <c r="R4" s="301" t="s">
        <v>19</v>
      </c>
      <c r="S4" s="301" t="s">
        <v>20</v>
      </c>
      <c r="T4" s="301" t="s">
        <v>21</v>
      </c>
      <c r="U4" s="296" t="s">
        <v>15</v>
      </c>
      <c r="V4" s="251" t="s">
        <v>11</v>
      </c>
      <c r="W4" s="301" t="s">
        <v>22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11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30</v>
      </c>
      <c r="AN4" s="294" t="s">
        <v>31</v>
      </c>
      <c r="AO4" s="294" t="s">
        <v>32</v>
      </c>
      <c r="AP4" s="294" t="s">
        <v>33</v>
      </c>
      <c r="AQ4" s="294" t="s">
        <v>34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158"/>
      <c r="E6" s="34">
        <f>'4.30'!K6</f>
        <v>0</v>
      </c>
      <c r="F6" s="159"/>
      <c r="G6" s="303"/>
      <c r="H6" s="306">
        <f>H12+I12+J12</f>
        <v>0</v>
      </c>
      <c r="I6" s="303"/>
      <c r="J6" s="306">
        <f>H11+I11+J11</f>
        <v>0</v>
      </c>
      <c r="K6" s="158"/>
      <c r="L6" s="312"/>
      <c r="M6" s="164"/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179"/>
      <c r="Y6" s="303"/>
      <c r="Z6" s="327"/>
      <c r="AA6" s="189"/>
      <c r="AB6" s="331"/>
      <c r="AC6" s="190"/>
      <c r="AD6" s="303"/>
      <c r="AE6" s="303"/>
      <c r="AF6" s="334"/>
      <c r="AG6" s="113">
        <f>'4.30'!AK6</f>
        <v>0</v>
      </c>
      <c r="AH6" s="194"/>
      <c r="AI6" s="195"/>
      <c r="AJ6" s="195"/>
      <c r="AK6" s="116">
        <f>AG6+AH6-AI6-AJ6</f>
        <v>0</v>
      </c>
      <c r="AL6" s="196"/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160"/>
      <c r="E7" s="34">
        <f>'4.30'!K7</f>
        <v>0</v>
      </c>
      <c r="F7" s="161"/>
      <c r="G7" s="304"/>
      <c r="H7" s="307"/>
      <c r="I7" s="304"/>
      <c r="J7" s="307"/>
      <c r="K7" s="168"/>
      <c r="L7" s="312"/>
      <c r="M7" s="169"/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304"/>
      <c r="Z7" s="328"/>
      <c r="AA7" s="99"/>
      <c r="AB7" s="332"/>
      <c r="AC7" s="169"/>
      <c r="AD7" s="304"/>
      <c r="AE7" s="304"/>
      <c r="AF7" s="335"/>
      <c r="AG7" s="258" t="s">
        <v>41</v>
      </c>
      <c r="AH7" s="258"/>
      <c r="AI7" s="258"/>
      <c r="AJ7" s="258"/>
      <c r="AK7" s="259"/>
      <c r="AL7" s="197"/>
      <c r="AM7" s="55" t="s">
        <v>42</v>
      </c>
      <c r="AN7" s="30" t="s">
        <v>43</v>
      </c>
      <c r="AO7" s="30" t="s">
        <v>44</v>
      </c>
      <c r="AP7" s="30" t="s">
        <v>45</v>
      </c>
      <c r="AQ7" s="30" t="s">
        <v>46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162"/>
      <c r="E8" s="34">
        <f>'4.30'!K8</f>
        <v>0</v>
      </c>
      <c r="F8" s="163"/>
      <c r="G8" s="305"/>
      <c r="H8" s="308"/>
      <c r="I8" s="305"/>
      <c r="J8" s="308"/>
      <c r="K8" s="162"/>
      <c r="L8" s="312"/>
      <c r="M8" s="170"/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180"/>
      <c r="Y8" s="305"/>
      <c r="Z8" s="329"/>
      <c r="AA8" s="191"/>
      <c r="AB8" s="333"/>
      <c r="AC8" s="192"/>
      <c r="AD8" s="305"/>
      <c r="AE8" s="305"/>
      <c r="AF8" s="336"/>
      <c r="AG8" s="85" t="s">
        <v>11</v>
      </c>
      <c r="AH8" s="49" t="s">
        <v>27</v>
      </c>
      <c r="AI8" s="49" t="s">
        <v>28</v>
      </c>
      <c r="AJ8" s="49" t="s">
        <v>20</v>
      </c>
      <c r="AK8" s="84" t="s">
        <v>15</v>
      </c>
      <c r="AL8" s="198"/>
      <c r="AM8" s="118">
        <f>'4.30'!AQ8</f>
        <v>497316.48</v>
      </c>
      <c r="AN8" s="122">
        <f>I6+AJ6+AL9+P11+AJ12+AJ9+AD9</f>
        <v>0</v>
      </c>
      <c r="AO8" s="202"/>
      <c r="AP8" s="202"/>
      <c r="AQ8" s="151">
        <f>AM8+AN8+AO8-AP8</f>
        <v>497316.48</v>
      </c>
      <c r="AR8" s="203"/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'4.30'!K9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'4.30'!P9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</f>
        <v>51567.370000000097</v>
      </c>
      <c r="Q9" s="34">
        <f>'4.30'!U9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'4.30'!Z9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>
        <f>'4.30'!AF9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'4.30'!AK9</f>
        <v>0</v>
      </c>
      <c r="AH9" s="199"/>
      <c r="AI9" s="199"/>
      <c r="AJ9" s="199"/>
      <c r="AK9" s="125">
        <f>AG9+AH9-AI9-AJ9</f>
        <v>0</v>
      </c>
      <c r="AL9" s="126">
        <f>AL6+AL7+AL8</f>
        <v>0</v>
      </c>
      <c r="AM9" s="127" t="s">
        <v>51</v>
      </c>
      <c r="AN9" s="128" t="s">
        <v>52</v>
      </c>
      <c r="AO9" s="128" t="s">
        <v>53</v>
      </c>
      <c r="AP9" s="128" t="s">
        <v>54</v>
      </c>
      <c r="AQ9" s="153" t="s">
        <v>55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171" t="s">
        <v>64</v>
      </c>
      <c r="L10" s="357"/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266"/>
      <c r="B11" s="266"/>
      <c r="C11" s="165"/>
      <c r="D11" s="297"/>
      <c r="E11" s="264"/>
      <c r="F11" s="358"/>
      <c r="G11" s="49" t="s">
        <v>76</v>
      </c>
      <c r="H11" s="166"/>
      <c r="I11" s="172"/>
      <c r="J11" s="173"/>
      <c r="K11" s="174">
        <f>ROUND(K6+K7+K8-K9,2)</f>
        <v>-2947.28</v>
      </c>
      <c r="L11" s="358"/>
      <c r="M11" s="267"/>
      <c r="N11" s="267"/>
      <c r="O11" s="49" t="s">
        <v>37</v>
      </c>
      <c r="P11" s="175"/>
      <c r="Q11" s="85" t="s">
        <v>77</v>
      </c>
      <c r="R11" s="181"/>
      <c r="S11" s="182"/>
      <c r="T11" s="183"/>
      <c r="U11" s="184"/>
      <c r="V11" s="350"/>
      <c r="W11" s="351"/>
      <c r="X11" s="294"/>
      <c r="Y11" s="294"/>
      <c r="Z11" s="330"/>
      <c r="AA11" s="175"/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166"/>
      <c r="I12" s="172"/>
      <c r="J12" s="173"/>
      <c r="K12" s="455"/>
      <c r="L12" s="358"/>
      <c r="M12" s="267"/>
      <c r="N12" s="267"/>
      <c r="O12" s="49" t="s">
        <v>61</v>
      </c>
      <c r="P12" s="176"/>
      <c r="Q12" s="90" t="s">
        <v>20</v>
      </c>
      <c r="R12" s="181"/>
      <c r="S12" s="182"/>
      <c r="T12" s="183"/>
      <c r="U12" s="184"/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'4.30'!AK12</f>
        <v>0</v>
      </c>
      <c r="AH12" s="194"/>
      <c r="AI12" s="194"/>
      <c r="AJ12" s="194"/>
      <c r="AK12" s="200">
        <f>AG12+AH12-AI12-AJ12</f>
        <v>0</v>
      </c>
      <c r="AL12" s="339"/>
      <c r="AM12" s="134">
        <f>'4.30'!AQ12</f>
        <v>550013.99</v>
      </c>
      <c r="AN12" s="38">
        <f>H11+P12+R12</f>
        <v>0</v>
      </c>
      <c r="AO12" s="166"/>
      <c r="AP12" s="166"/>
      <c r="AQ12" s="32">
        <f>AM12+AN12+AO12-AP12</f>
        <v>550013.99</v>
      </c>
      <c r="AR12" s="166"/>
      <c r="AS12" s="155">
        <f>ROUND(AR12-AQ12,2)</f>
        <v>-550013.99</v>
      </c>
    </row>
    <row r="13" spans="1:45" ht="27" customHeight="1">
      <c r="A13" s="361"/>
      <c r="B13" s="361"/>
      <c r="C13" s="53">
        <f>A11-C6</f>
        <v>0</v>
      </c>
      <c r="D13" s="298"/>
      <c r="E13" s="264"/>
      <c r="F13" s="358"/>
      <c r="G13" s="267" t="s">
        <v>88</v>
      </c>
      <c r="H13" s="267"/>
      <c r="I13" s="267"/>
      <c r="J13" s="267"/>
      <c r="K13" s="456"/>
      <c r="L13" s="457"/>
      <c r="M13" s="267"/>
      <c r="N13" s="267"/>
      <c r="O13" s="49" t="s">
        <v>62</v>
      </c>
      <c r="P13" s="177"/>
      <c r="Q13" s="90" t="s">
        <v>21</v>
      </c>
      <c r="R13" s="181"/>
      <c r="S13" s="182"/>
      <c r="T13" s="183"/>
      <c r="U13" s="184"/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95"/>
      <c r="AG13" s="449" t="s">
        <v>253</v>
      </c>
      <c r="AH13" s="450"/>
      <c r="AI13" s="450"/>
      <c r="AJ13" s="450"/>
      <c r="AK13" s="451"/>
      <c r="AL13" s="339"/>
      <c r="AM13" s="90" t="s">
        <v>95</v>
      </c>
      <c r="AN13" s="131" t="s">
        <v>96</v>
      </c>
      <c r="AO13" s="131" t="s">
        <v>97</v>
      </c>
      <c r="AP13" s="131" t="s">
        <v>98</v>
      </c>
      <c r="AQ13" s="131" t="s">
        <v>99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185"/>
      <c r="S14" s="186"/>
      <c r="T14" s="187"/>
      <c r="U14" s="188"/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458"/>
      <c r="AG14" s="452"/>
      <c r="AH14" s="453"/>
      <c r="AI14" s="453"/>
      <c r="AJ14" s="453"/>
      <c r="AK14" s="454"/>
      <c r="AL14" s="340"/>
      <c r="AM14" s="201">
        <f>'4.30'!AQ14</f>
        <v>102131.94</v>
      </c>
      <c r="AN14" s="131">
        <f>I11+P13+S12</f>
        <v>0</v>
      </c>
      <c r="AO14" s="181"/>
      <c r="AP14" s="181"/>
      <c r="AQ14" s="32">
        <f>AM14+AN14+AO14-AP14</f>
        <v>102131.94</v>
      </c>
      <c r="AR14" s="181"/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105</v>
      </c>
      <c r="AN15" s="141" t="s">
        <v>106</v>
      </c>
      <c r="AO15" s="141" t="s">
        <v>107</v>
      </c>
      <c r="AP15" s="141" t="s">
        <v>108</v>
      </c>
      <c r="AQ15" s="28" t="s">
        <v>109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'4.30'!AQ16</f>
        <v>0</v>
      </c>
      <c r="AN16" s="53">
        <f>J11+T12</f>
        <v>0</v>
      </c>
      <c r="AO16" s="182"/>
      <c r="AP16" s="182"/>
      <c r="AQ16" s="53">
        <f>AM16+AN16+AO16-AP16</f>
        <v>0</v>
      </c>
      <c r="AR16" s="182"/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121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122</v>
      </c>
      <c r="AN17" s="144" t="s">
        <v>123</v>
      </c>
      <c r="AO17" s="144" t="s">
        <v>124</v>
      </c>
      <c r="AP17" s="144" t="s">
        <v>125</v>
      </c>
      <c r="AQ17" s="56" t="s">
        <v>126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'4.30'!AQ18</f>
        <v>0</v>
      </c>
      <c r="AN18" s="53">
        <f>U12</f>
        <v>0</v>
      </c>
      <c r="AO18" s="183"/>
      <c r="AP18" s="183"/>
      <c r="AQ18" s="53">
        <f>AM18+AN18+AO18-AP18</f>
        <v>0</v>
      </c>
      <c r="AR18" s="183"/>
      <c r="AS18" s="155">
        <f>ROUND(AR18-AQ18,2)</f>
        <v>0</v>
      </c>
    </row>
    <row r="19" spans="1:45" ht="18" customHeight="1">
      <c r="A19" s="285" t="s">
        <v>157</v>
      </c>
      <c r="B19" s="291" t="s">
        <v>138</v>
      </c>
      <c r="C19" s="277">
        <f>'4.30'!Q19</f>
        <v>779060.67</v>
      </c>
      <c r="D19" s="277"/>
      <c r="E19" s="267"/>
      <c r="F19" s="267"/>
      <c r="G19" s="46" t="s">
        <v>139</v>
      </c>
      <c r="H19" s="58">
        <f>'4.30'!K19</f>
        <v>0</v>
      </c>
      <c r="I19" s="76"/>
      <c r="J19" s="49"/>
      <c r="K19" s="49"/>
      <c r="L19" s="178"/>
      <c r="M19" s="277">
        <f>IF(I19=J19=0,K19-H19-L19,IF(I19&gt;J19&gt;0,I19-H19+K19-J19-L19))</f>
        <v>0</v>
      </c>
      <c r="N19" s="277"/>
      <c r="O19" s="362">
        <f>M19+M20+M21+M22</f>
        <v>0</v>
      </c>
      <c r="P19" s="363"/>
      <c r="Q19" s="362">
        <f>C19+E19-O19</f>
        <v>779060.67</v>
      </c>
      <c r="R19" s="363"/>
      <c r="S19" s="366"/>
      <c r="T19" s="357"/>
      <c r="U19" s="323">
        <f>S19-Q19</f>
        <v>-779060.67</v>
      </c>
      <c r="V19" s="323">
        <f>U19-'4.30'!U19:U22</f>
        <v>0</v>
      </c>
      <c r="W19" s="325"/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140</v>
      </c>
      <c r="AN19" s="141" t="s">
        <v>141</v>
      </c>
      <c r="AO19" s="28" t="s">
        <v>142</v>
      </c>
      <c r="AP19" s="28" t="s">
        <v>143</v>
      </c>
      <c r="AQ19" s="28" t="s">
        <v>144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>
        <f>'4.30'!Q20</f>
        <v>0</v>
      </c>
      <c r="D20" s="277"/>
      <c r="E20" s="267"/>
      <c r="F20" s="267"/>
      <c r="G20" s="46" t="s">
        <v>147</v>
      </c>
      <c r="H20" s="58">
        <f>'4.30'!K20</f>
        <v>0</v>
      </c>
      <c r="I20" s="76"/>
      <c r="J20" s="49"/>
      <c r="K20" s="49"/>
      <c r="L20" s="178"/>
      <c r="M20" s="277">
        <f t="shared" ref="M20:M26" si="3">IF(I20=J20=0,K20-H20-L20,IF(I20&gt;J20&gt;0,I20-H20+K20-J20-L20))</f>
        <v>0</v>
      </c>
      <c r="N20" s="277"/>
      <c r="O20" s="364"/>
      <c r="P20" s="365"/>
      <c r="Q20" s="364"/>
      <c r="R20" s="365"/>
      <c r="S20" s="367"/>
      <c r="T20" s="358"/>
      <c r="U20" s="324"/>
      <c r="V20" s="324"/>
      <c r="W20" s="326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'4.30'!AQ20</f>
        <v>0</v>
      </c>
      <c r="AN20" s="53"/>
      <c r="AO20" s="204"/>
      <c r="AP20" s="204"/>
      <c r="AQ20" s="53">
        <f>AM20+AN20+AO20-AP20</f>
        <v>0</v>
      </c>
      <c r="AR20" s="204"/>
      <c r="AS20" s="205">
        <f>ROUND(AR20-AQ20,2)</f>
        <v>0</v>
      </c>
    </row>
    <row r="21" spans="1:45" ht="18" customHeight="1">
      <c r="A21" s="286"/>
      <c r="B21" s="292"/>
      <c r="C21" s="277">
        <f>'4.30'!Q21</f>
        <v>0</v>
      </c>
      <c r="D21" s="277"/>
      <c r="E21" s="267"/>
      <c r="F21" s="267"/>
      <c r="G21" s="46" t="s">
        <v>148</v>
      </c>
      <c r="H21" s="58">
        <f>'4.30'!K21</f>
        <v>0</v>
      </c>
      <c r="I21" s="76"/>
      <c r="J21" s="49"/>
      <c r="K21" s="49"/>
      <c r="L21" s="178"/>
      <c r="M21" s="277">
        <f t="shared" si="3"/>
        <v>0</v>
      </c>
      <c r="N21" s="277"/>
      <c r="O21" s="364"/>
      <c r="P21" s="365"/>
      <c r="Q21" s="364"/>
      <c r="R21" s="365"/>
      <c r="S21" s="367"/>
      <c r="T21" s="358"/>
      <c r="U21" s="324"/>
      <c r="V21" s="324"/>
      <c r="W21" s="326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149</v>
      </c>
      <c r="AN21" s="141" t="s">
        <v>150</v>
      </c>
      <c r="AO21" s="28" t="s">
        <v>151</v>
      </c>
      <c r="AP21" s="28" t="s">
        <v>152</v>
      </c>
      <c r="AQ21" s="28" t="s">
        <v>153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>
        <f>'4.30'!Q22</f>
        <v>0</v>
      </c>
      <c r="D22" s="277"/>
      <c r="E22" s="267"/>
      <c r="F22" s="267"/>
      <c r="G22" s="46" t="s">
        <v>156</v>
      </c>
      <c r="H22" s="58">
        <f>'4.30'!K22</f>
        <v>0</v>
      </c>
      <c r="I22" s="76"/>
      <c r="J22" s="49"/>
      <c r="K22" s="49"/>
      <c r="L22" s="178"/>
      <c r="M22" s="277">
        <f t="shared" si="3"/>
        <v>0</v>
      </c>
      <c r="N22" s="277"/>
      <c r="O22" s="364"/>
      <c r="P22" s="365"/>
      <c r="Q22" s="364"/>
      <c r="R22" s="365"/>
      <c r="S22" s="367"/>
      <c r="T22" s="358"/>
      <c r="U22" s="324"/>
      <c r="V22" s="324"/>
      <c r="W22" s="326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'4.30'!AQ22</f>
        <v>0</v>
      </c>
      <c r="AN22" s="28"/>
      <c r="AO22" s="172"/>
      <c r="AP22" s="172"/>
      <c r="AQ22" s="53">
        <f>AM22+AN22+AO22-AP22</f>
        <v>0</v>
      </c>
      <c r="AR22" s="172"/>
      <c r="AS22" s="155">
        <f>ROUND(AR22-AQ22,2)</f>
        <v>0</v>
      </c>
    </row>
    <row r="23" spans="1:45" ht="18" customHeight="1">
      <c r="A23" s="287" t="s">
        <v>139</v>
      </c>
      <c r="B23" s="291" t="s">
        <v>158</v>
      </c>
      <c r="C23" s="277">
        <f>'4.30'!Q23</f>
        <v>345566.13</v>
      </c>
      <c r="D23" s="277"/>
      <c r="E23" s="267"/>
      <c r="F23" s="267"/>
      <c r="G23" s="46" t="s">
        <v>157</v>
      </c>
      <c r="H23" s="58">
        <f>'4.30'!K23</f>
        <v>0</v>
      </c>
      <c r="I23" s="76"/>
      <c r="J23" s="49"/>
      <c r="K23" s="49"/>
      <c r="L23" s="178"/>
      <c r="M23" s="277">
        <f t="shared" si="3"/>
        <v>0</v>
      </c>
      <c r="N23" s="277"/>
      <c r="O23" s="277">
        <f>M23+M24+M25</f>
        <v>0</v>
      </c>
      <c r="P23" s="277"/>
      <c r="Q23" s="277">
        <f>C23+E23-O23</f>
        <v>345566.13</v>
      </c>
      <c r="R23" s="277"/>
      <c r="S23" s="267"/>
      <c r="T23" s="267"/>
      <c r="U23" s="277">
        <f>S23-Q23</f>
        <v>-345566.13</v>
      </c>
      <c r="V23" s="277">
        <f>U23-'4.30'!U23:U25</f>
        <v>0</v>
      </c>
      <c r="W23" s="267"/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159</v>
      </c>
      <c r="AN23" s="141" t="s">
        <v>160</v>
      </c>
      <c r="AO23" s="28" t="s">
        <v>161</v>
      </c>
      <c r="AP23" s="28" t="s">
        <v>162</v>
      </c>
      <c r="AQ23" s="28" t="s">
        <v>163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>
        <f>'4.30'!Q24</f>
        <v>0</v>
      </c>
      <c r="D24" s="277"/>
      <c r="E24" s="267"/>
      <c r="F24" s="267"/>
      <c r="G24" s="46" t="s">
        <v>137</v>
      </c>
      <c r="H24" s="58">
        <f>'4.30'!K24</f>
        <v>0</v>
      </c>
      <c r="I24" s="76"/>
      <c r="J24" s="49"/>
      <c r="K24" s="49"/>
      <c r="L24" s="178"/>
      <c r="M24" s="277">
        <f t="shared" si="3"/>
        <v>0</v>
      </c>
      <c r="N24" s="277"/>
      <c r="O24" s="277"/>
      <c r="P24" s="277"/>
      <c r="Q24" s="277"/>
      <c r="R24" s="277"/>
      <c r="S24" s="267"/>
      <c r="T24" s="267"/>
      <c r="U24" s="277"/>
      <c r="V24" s="277"/>
      <c r="W24" s="267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'4.30'!AQ24</f>
        <v>0</v>
      </c>
      <c r="AN24" s="53"/>
      <c r="AO24" s="173"/>
      <c r="AP24" s="173"/>
      <c r="AQ24" s="53">
        <f>AM24+AN24+AO24-AP24</f>
        <v>0</v>
      </c>
      <c r="AR24" s="173"/>
      <c r="AS24" s="205">
        <f>ROUND(AR24-AQ24,2)</f>
        <v>0</v>
      </c>
    </row>
    <row r="25" spans="1:45" ht="18" customHeight="1">
      <c r="A25" s="289"/>
      <c r="B25" s="293"/>
      <c r="C25" s="277">
        <f>'4.30'!Q25</f>
        <v>0</v>
      </c>
      <c r="D25" s="277"/>
      <c r="E25" s="267"/>
      <c r="F25" s="267"/>
      <c r="G25" s="46" t="s">
        <v>166</v>
      </c>
      <c r="H25" s="58">
        <f>'4.30'!K25</f>
        <v>0</v>
      </c>
      <c r="I25" s="76"/>
      <c r="J25" s="49"/>
      <c r="K25" s="49"/>
      <c r="L25" s="178"/>
      <c r="M25" s="277">
        <f t="shared" si="3"/>
        <v>0</v>
      </c>
      <c r="N25" s="277"/>
      <c r="O25" s="277"/>
      <c r="P25" s="277"/>
      <c r="Q25" s="277"/>
      <c r="R25" s="277"/>
      <c r="S25" s="267"/>
      <c r="T25" s="267"/>
      <c r="U25" s="277"/>
      <c r="V25" s="277"/>
      <c r="W25" s="267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167</v>
      </c>
      <c r="AN25" s="141" t="s">
        <v>168</v>
      </c>
      <c r="AO25" s="28" t="s">
        <v>169</v>
      </c>
      <c r="AP25" s="28" t="s">
        <v>170</v>
      </c>
      <c r="AQ25" s="28" t="s">
        <v>171</v>
      </c>
      <c r="AR25" s="68" t="s">
        <v>172</v>
      </c>
      <c r="AS25" s="69" t="s">
        <v>173</v>
      </c>
    </row>
    <row r="26" spans="1:45" ht="18" customHeight="1">
      <c r="A26" s="59" t="s">
        <v>137</v>
      </c>
      <c r="B26" s="60" t="s">
        <v>174</v>
      </c>
      <c r="C26" s="277">
        <f>'4.30'!Q26</f>
        <v>21204.52</v>
      </c>
      <c r="D26" s="277"/>
      <c r="E26" s="278"/>
      <c r="F26" s="279"/>
      <c r="G26" s="28" t="s">
        <v>175</v>
      </c>
      <c r="H26" s="58">
        <f>'4.30'!K26</f>
        <v>0</v>
      </c>
      <c r="I26" s="76"/>
      <c r="J26" s="49"/>
      <c r="K26" s="49"/>
      <c r="L26" s="178"/>
      <c r="M26" s="277">
        <f t="shared" si="3"/>
        <v>0</v>
      </c>
      <c r="N26" s="277"/>
      <c r="O26" s="277">
        <f>M26</f>
        <v>0</v>
      </c>
      <c r="P26" s="277"/>
      <c r="Q26" s="277">
        <f>C26+E26-O26</f>
        <v>21204.52</v>
      </c>
      <c r="R26" s="277"/>
      <c r="S26" s="267"/>
      <c r="T26" s="267"/>
      <c r="U26" s="53">
        <f>S26-Q26</f>
        <v>-21204.52</v>
      </c>
      <c r="V26" s="53">
        <f>U26-'4.30'!U26</f>
        <v>0</v>
      </c>
      <c r="W26" s="178"/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'4.30'!AQ26</f>
        <v>0</v>
      </c>
      <c r="AN26" s="110"/>
      <c r="AO26" s="206"/>
      <c r="AP26" s="206"/>
      <c r="AQ26" s="147">
        <f>AM26+AN26+AO26-AP26</f>
        <v>0</v>
      </c>
      <c r="AR26" s="203"/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8">
    <mergeCell ref="AO1:AS2"/>
    <mergeCell ref="A1:AN2"/>
    <mergeCell ref="A3:B5"/>
    <mergeCell ref="AB10:AF14"/>
    <mergeCell ref="A12:B14"/>
    <mergeCell ref="C23:D25"/>
    <mergeCell ref="E23:F25"/>
    <mergeCell ref="O23:P25"/>
    <mergeCell ref="Q23:R25"/>
    <mergeCell ref="S23:T25"/>
    <mergeCell ref="X23:AL25"/>
    <mergeCell ref="C19:D22"/>
    <mergeCell ref="E19:F22"/>
    <mergeCell ref="O19:P22"/>
    <mergeCell ref="Q19:R22"/>
    <mergeCell ref="S19:T22"/>
    <mergeCell ref="X19:AL22"/>
    <mergeCell ref="AL4:AL5"/>
    <mergeCell ref="AL10:AL14"/>
    <mergeCell ref="AM4:AM5"/>
    <mergeCell ref="AN4:AN5"/>
    <mergeCell ref="AO4:AO5"/>
    <mergeCell ref="AP4:AP5"/>
    <mergeCell ref="AQ4:AQ5"/>
    <mergeCell ref="AR4:AR5"/>
    <mergeCell ref="AS4:AS5"/>
    <mergeCell ref="AE4:AE5"/>
    <mergeCell ref="AE6:AE8"/>
    <mergeCell ref="AF4:AF5"/>
    <mergeCell ref="AF6:AF8"/>
    <mergeCell ref="AG4:AG5"/>
    <mergeCell ref="AH4:AH5"/>
    <mergeCell ref="AI4:AI5"/>
    <mergeCell ref="AJ4:AJ5"/>
    <mergeCell ref="AK4:AK5"/>
    <mergeCell ref="Z4:Z5"/>
    <mergeCell ref="Z6:Z8"/>
    <mergeCell ref="Z10:Z13"/>
    <mergeCell ref="AA4:AA5"/>
    <mergeCell ref="AB4:AB5"/>
    <mergeCell ref="AB6:AB8"/>
    <mergeCell ref="AC4:AC5"/>
    <mergeCell ref="AD4:AD5"/>
    <mergeCell ref="AD6:AD8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E10:F14"/>
    <mergeCell ref="Q26:R26"/>
    <mergeCell ref="S26:T26"/>
    <mergeCell ref="X26:AL26"/>
    <mergeCell ref="A17:A18"/>
    <mergeCell ref="A19:A22"/>
    <mergeCell ref="A23:A25"/>
    <mergeCell ref="B17:B18"/>
    <mergeCell ref="B19:B22"/>
    <mergeCell ref="B23:B25"/>
    <mergeCell ref="U17:U18"/>
    <mergeCell ref="U19:U22"/>
    <mergeCell ref="U23:U25"/>
    <mergeCell ref="V17:V18"/>
    <mergeCell ref="V19:V22"/>
    <mergeCell ref="V23:V25"/>
    <mergeCell ref="W17:W18"/>
    <mergeCell ref="W19:W22"/>
    <mergeCell ref="W23:W25"/>
    <mergeCell ref="C17:D18"/>
    <mergeCell ref="E17:F18"/>
    <mergeCell ref="Q17:R18"/>
    <mergeCell ref="S17:T18"/>
    <mergeCell ref="X17:AL18"/>
    <mergeCell ref="M21:N21"/>
    <mergeCell ref="M22:N22"/>
    <mergeCell ref="M23:N23"/>
    <mergeCell ref="M24:N24"/>
    <mergeCell ref="M25:N25"/>
    <mergeCell ref="C26:D26"/>
    <mergeCell ref="E26:F26"/>
    <mergeCell ref="M26:N26"/>
    <mergeCell ref="O26:P26"/>
    <mergeCell ref="G14:J14"/>
    <mergeCell ref="L14:P14"/>
    <mergeCell ref="X14:AA14"/>
    <mergeCell ref="AG14:AK14"/>
    <mergeCell ref="G17:P17"/>
    <mergeCell ref="M18:N18"/>
    <mergeCell ref="O18:P18"/>
    <mergeCell ref="M19:N19"/>
    <mergeCell ref="M20:N20"/>
    <mergeCell ref="K12:K14"/>
    <mergeCell ref="L10:L13"/>
    <mergeCell ref="M10:M13"/>
    <mergeCell ref="N10:N13"/>
    <mergeCell ref="X10:X13"/>
    <mergeCell ref="Y10:Y13"/>
    <mergeCell ref="A15:AL16"/>
    <mergeCell ref="V10:W13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AG13:AK13"/>
    <mergeCell ref="L6:L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Y6:Y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honeticPr fontId="23" type="noConversion"/>
  <conditionalFormatting sqref="C13">
    <cfRule type="cellIs" dxfId="8" priority="1" operator="notEqual">
      <formula>0</formula>
    </cfRule>
  </conditionalFormatting>
  <conditionalFormatting sqref="W14">
    <cfRule type="cellIs" dxfId="7" priority="2" operator="notEqual">
      <formula>0</formula>
    </cfRule>
  </conditionalFormatting>
  <conditionalFormatting sqref="AS14 AS16 AS18 AS20 AS22 AS24 AS26 AS12 K11 AS6 AS8 AS10 AA13">
    <cfRule type="cellIs" dxfId="6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1:AS26">
      <formula1>TODAY()&lt;--"2025-2-5"</formula1>
    </dataValidation>
  </dataValidations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AS27"/>
  <sheetViews>
    <sheetView topLeftCell="P1" workbookViewId="0">
      <selection sqref="A1:AS26"/>
    </sheetView>
  </sheetViews>
  <sheetFormatPr defaultColWidth="9" defaultRowHeight="13.5"/>
  <cols>
    <col min="1" max="1" width="4.875" style="27" customWidth="1"/>
    <col min="2" max="2" width="4.25" style="27" customWidth="1"/>
    <col min="3" max="3" width="8.125" style="27" customWidth="1"/>
    <col min="4" max="4" width="7.25" style="27" customWidth="1"/>
    <col min="5" max="5" width="8.125" style="27" customWidth="1"/>
    <col min="6" max="6" width="8.5" style="27" customWidth="1"/>
    <col min="7" max="7" width="6.62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12" width="8.125" style="27" customWidth="1"/>
    <col min="13" max="13" width="9" style="27"/>
    <col min="14" max="14" width="7.75" style="27" customWidth="1"/>
    <col min="15" max="15" width="7.875" style="27" customWidth="1"/>
    <col min="16" max="16" width="9" style="27"/>
    <col min="17" max="17" width="8.5" style="27" customWidth="1"/>
    <col min="18" max="18" width="8" style="27" customWidth="1"/>
    <col min="19" max="19" width="8.25" style="27" customWidth="1"/>
    <col min="20" max="20" width="8.375" style="27" customWidth="1"/>
    <col min="21" max="21" width="8.5" style="27" customWidth="1"/>
    <col min="22" max="22" width="7.875" style="27" customWidth="1"/>
    <col min="23" max="23" width="8.375" style="27" customWidth="1"/>
    <col min="24" max="24" width="8.625" style="27" customWidth="1"/>
    <col min="25" max="25" width="8.125" style="27" customWidth="1"/>
    <col min="26" max="32" width="8.375" style="27" customWidth="1"/>
    <col min="33" max="33" width="9" style="27"/>
    <col min="34" max="34" width="10" style="27" customWidth="1"/>
    <col min="35" max="35" width="8.5" style="27" customWidth="1"/>
    <col min="36" max="36" width="8.375" style="27" customWidth="1"/>
    <col min="37" max="37" width="8.5" style="27" customWidth="1"/>
    <col min="38" max="38" width="7.875" style="27" customWidth="1"/>
    <col min="39" max="39" width="11.125" style="27" customWidth="1"/>
    <col min="40" max="40" width="10.6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400" t="s">
        <v>254</v>
      </c>
      <c r="AP1" s="400"/>
      <c r="AQ1" s="400"/>
      <c r="AR1" s="400"/>
      <c r="AS1" s="400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401"/>
      <c r="AP2" s="401"/>
      <c r="AQ2" s="401"/>
      <c r="AR2" s="401"/>
      <c r="AS2" s="401"/>
    </row>
    <row r="3" spans="1:45" ht="18" customHeight="1">
      <c r="A3" s="348"/>
      <c r="B3" s="349"/>
      <c r="C3" s="248" t="s">
        <v>199</v>
      </c>
      <c r="D3" s="249" t="s">
        <v>200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201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202</v>
      </c>
      <c r="L4" s="251" t="s">
        <v>201</v>
      </c>
      <c r="M4" s="301" t="s">
        <v>16</v>
      </c>
      <c r="N4" s="301" t="s">
        <v>17</v>
      </c>
      <c r="O4" s="301" t="s">
        <v>255</v>
      </c>
      <c r="P4" s="295" t="s">
        <v>202</v>
      </c>
      <c r="Q4" s="251" t="s">
        <v>201</v>
      </c>
      <c r="R4" s="301" t="s">
        <v>19</v>
      </c>
      <c r="S4" s="301" t="s">
        <v>20</v>
      </c>
      <c r="T4" s="301" t="s">
        <v>21</v>
      </c>
      <c r="U4" s="296" t="s">
        <v>202</v>
      </c>
      <c r="V4" s="251" t="s">
        <v>11</v>
      </c>
      <c r="W4" s="301" t="s">
        <v>203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201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204</v>
      </c>
      <c r="AN4" s="294" t="s">
        <v>205</v>
      </c>
      <c r="AO4" s="294" t="s">
        <v>32</v>
      </c>
      <c r="AP4" s="294" t="s">
        <v>206</v>
      </c>
      <c r="AQ4" s="294" t="s">
        <v>207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0</v>
      </c>
      <c r="D6" s="33">
        <f>'4.21'!D6+'4.22'!D6+'4.23'!D6+'4.24'!D6+'4.25'!D6+'4.26'!D6+'4.27'!D6+'4.28'!D6+'4.29'!D6+'4.30'!D6</f>
        <v>0</v>
      </c>
      <c r="E6" s="34">
        <f>'4.21'!E6</f>
        <v>0</v>
      </c>
      <c r="F6" s="35">
        <f>'4.21'!F6+'4.22'!F6+'4.23'!F6+'4.24'!F6+'4.25'!F6+'4.26'!F6+'4.27'!F6+'4.28'!F6+'4.29'!F6+'4.30'!F6</f>
        <v>0</v>
      </c>
      <c r="G6" s="442">
        <f>'4.21'!G6+'4.22'!G6+'4.23'!G6+'4.24'!G6+'4.25'!G6+'4.26'!G6+'4.27'!G6+'4.28'!G6+'4.29'!G6+'4.30'!G6</f>
        <v>0</v>
      </c>
      <c r="H6" s="306">
        <f>H12+I12+J12</f>
        <v>0</v>
      </c>
      <c r="I6" s="442">
        <f>'4.21'!I6+'4.22'!I6+'4.23'!I6+'4.24'!I6+'4.25'!I6+'4.26'!I6+'4.27'!I6+'4.28'!I6+'4.29'!I6+'4.30'!I6</f>
        <v>0</v>
      </c>
      <c r="J6" s="306">
        <f>H11+I11+J11</f>
        <v>0</v>
      </c>
      <c r="K6" s="33">
        <f>'4.30'!K6</f>
        <v>0</v>
      </c>
      <c r="L6" s="312"/>
      <c r="M6" s="50">
        <f>'4.21'!M6+'4.22'!M6+'4.23'!M6+'4.24'!M6+'4.25'!M6+'4.26'!M6+'4.27'!M6+'4.28'!M6+'4.29'!M6+'4.30'!M6</f>
        <v>0</v>
      </c>
      <c r="N6" s="306">
        <f>M9-R6</f>
        <v>0</v>
      </c>
      <c r="O6" s="313">
        <f>P11+P12+P13</f>
        <v>0</v>
      </c>
      <c r="P6" s="315"/>
      <c r="Q6" s="316"/>
      <c r="R6" s="306">
        <f>R11+S11+T11+U11</f>
        <v>0</v>
      </c>
      <c r="S6" s="306">
        <f>R12+S12+T12+U12</f>
        <v>0</v>
      </c>
      <c r="T6" s="306">
        <f>R13+S13+T13+U13</f>
        <v>0</v>
      </c>
      <c r="U6" s="320"/>
      <c r="V6" s="312"/>
      <c r="W6" s="77"/>
      <c r="X6" s="78">
        <f>'4.21'!X6+'4.22'!X6+'4.23'!X6+'4.24'!X6+'4.25'!X6+'4.26'!X6+'4.27'!X6+'4.28'!X6+'4.29'!X6+'4.30'!X6</f>
        <v>0</v>
      </c>
      <c r="Y6" s="442">
        <f>'4.21'!Y6+'4.22'!Y6+'4.23'!Y6+'4.24'!Y6+'4.25'!Y6+'4.26'!Y6+'4.27'!Y6+'4.28'!Y6+'4.29'!Y6+'4.30'!Y6</f>
        <v>0</v>
      </c>
      <c r="Z6" s="327"/>
      <c r="AA6" s="97">
        <f>'4.21'!AA6+'4.22'!AA6+'4.23'!AA6+'4.24'!AA6+'4.25'!AA6+'4.26'!AA6+'4.27'!AA6+'4.28'!AA6+'4.29'!AA6+'4.30'!AA6</f>
        <v>0</v>
      </c>
      <c r="AB6" s="331"/>
      <c r="AC6" s="98">
        <f>'4.21'!AC6+'4.22'!AC6+'4.23'!AC6+'4.24'!AC6+'4.25'!AC6+'4.26'!AC6+'4.27'!AC6+'4.28'!AC6+'4.29'!AC6+'4.30'!AC6</f>
        <v>0</v>
      </c>
      <c r="AD6" s="442">
        <f>'4.21'!AD6+'4.22'!AD6+'4.23'!AD6+'4.24'!AD6+'4.25'!AD6+'4.26'!AD6+'4.27'!AD6+'4.28'!AD6+'4.29'!AD6+'4.30'!AD6</f>
        <v>0</v>
      </c>
      <c r="AE6" s="442">
        <f>'4.21'!AE6+'4.22'!AE6+'4.23'!AE6+'4.24'!AE6+'4.25'!AE6+'4.26'!AE6+'4.27'!AE6+'4.28'!AE6+'4.29'!AE6+'4.30'!AE6</f>
        <v>0</v>
      </c>
      <c r="AF6" s="334"/>
      <c r="AG6" s="113">
        <f>'4.21'!AG6</f>
        <v>0</v>
      </c>
      <c r="AH6" s="114">
        <f>'4.21'!AH6+'4.22'!AH6+'4.23'!AH6+'4.24'!AH6+'4.25'!AH6+'4.26'!AH6+'4.27'!AH6+'4.28'!AH6+'4.29'!AH6+'4.30'!AH6</f>
        <v>0</v>
      </c>
      <c r="AI6" s="115">
        <f>'4.21'!AI6+'4.22'!AI6+'4.23'!AI6+'4.24'!AI6+'4.25'!AI6+'4.26'!AI6+'4.27'!AI6+'4.28'!AI6+'4.29'!AI6+'4.30'!AI6</f>
        <v>0</v>
      </c>
      <c r="AJ6" s="115">
        <f>'4.21'!AJ6+'4.22'!AJ6+'4.23'!AJ6+'4.24'!AJ6+'4.25'!AJ6+'4.26'!AJ6+'4.27'!AJ6+'4.28'!AJ6+'4.29'!AJ6+'4.30'!AJ6</f>
        <v>0</v>
      </c>
      <c r="AK6" s="116">
        <f>AG6+AH6-AI6-AJ6+AH14-AI14</f>
        <v>0</v>
      </c>
      <c r="AL6" s="117">
        <f>'4.21'!AL6+'4.22'!AL6+'4.23'!AL6+'4.24'!AL6+'4.25'!AL6+'4.26'!AL6+'4.27'!AL6+'4.28'!AL6+'4.29'!AL6+'4.30'!AL6</f>
        <v>0</v>
      </c>
      <c r="AM6" s="118">
        <f>AM8+AM10</f>
        <v>1149462.4099999999</v>
      </c>
      <c r="AN6" s="119">
        <f>AN8+AN10</f>
        <v>0</v>
      </c>
      <c r="AO6" s="119">
        <f t="shared" ref="AO6:AP6" si="0">AO8+AO10</f>
        <v>0</v>
      </c>
      <c r="AP6" s="119">
        <f t="shared" si="0"/>
        <v>0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0</v>
      </c>
      <c r="D7" s="39">
        <f>'4.21'!D7+'4.22'!D7+'4.23'!D7+'4.24'!D7+'4.25'!D7+'4.26'!D7+'4.27'!D7+'4.28'!D7+'4.29'!D7+'4.30'!D7</f>
        <v>0</v>
      </c>
      <c r="E7" s="34">
        <f>'4.21'!E7</f>
        <v>0</v>
      </c>
      <c r="F7" s="40">
        <f>'4.21'!F7+'4.22'!F7+'4.23'!F7+'4.24'!F7+'4.25'!F7+'4.26'!F7+'4.27'!F7+'4.28'!F7+'4.29'!F7+'4.30'!F7</f>
        <v>0</v>
      </c>
      <c r="G7" s="443">
        <f>'4.21'!G7+'4.22'!G7+'4.23'!G7+'4.24'!G7+'4.25'!G7+'4.26'!G7+'4.27'!G7+'4.28'!G7+'4.29'!G7+'4.30'!G7</f>
        <v>0</v>
      </c>
      <c r="H7" s="307"/>
      <c r="I7" s="443">
        <f>'4.21'!I7+'4.22'!I7+'4.23'!I7+'4.24'!I7+'4.25'!I7+'4.26'!I7+'4.27'!I7+'4.28'!I7+'4.29'!I7+'4.30'!I7</f>
        <v>0</v>
      </c>
      <c r="J7" s="307"/>
      <c r="K7" s="62">
        <f>'4.30'!K7</f>
        <v>0</v>
      </c>
      <c r="L7" s="312"/>
      <c r="M7" s="63">
        <f>'4.21'!M7+'4.22'!M7+'4.23'!M7+'4.24'!M7+'4.25'!M7+'4.26'!M7+'4.27'!M7+'4.28'!M7+'4.29'!M7+'4.30'!M7</f>
        <v>0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0</v>
      </c>
      <c r="X7" s="80"/>
      <c r="Y7" s="443">
        <f>'4.21'!Y7+'4.22'!Y7+'4.23'!Y7+'4.24'!Y7+'4.25'!Y7+'4.26'!Y7+'4.27'!Y7+'4.28'!Y7+'4.29'!Y7+'4.30'!Y7</f>
        <v>0</v>
      </c>
      <c r="Z7" s="328"/>
      <c r="AA7" s="99"/>
      <c r="AB7" s="332"/>
      <c r="AC7" s="63">
        <f>'4.21'!AC7+'4.22'!AC7+'4.23'!AC7+'4.24'!AC7+'4.25'!AC7+'4.26'!AC7+'4.27'!AC7+'4.28'!AC7+'4.29'!AC7+'4.30'!AC7</f>
        <v>0</v>
      </c>
      <c r="AD7" s="443">
        <f>'4.21'!AD7+'4.22'!AD7+'4.23'!AD7+'4.24'!AD7+'4.25'!AD7+'4.26'!AD7+'4.27'!AD7+'4.28'!AD7+'4.29'!AD7+'4.30'!AD7</f>
        <v>0</v>
      </c>
      <c r="AE7" s="443">
        <f>'4.21'!AE7+'4.22'!AE7+'4.23'!AE7+'4.24'!AE7+'4.25'!AE7+'4.26'!AE7+'4.27'!AE7+'4.28'!AE7+'4.29'!AE7+'4.30'!AE7</f>
        <v>0</v>
      </c>
      <c r="AF7" s="335"/>
      <c r="AG7" s="258" t="s">
        <v>41</v>
      </c>
      <c r="AH7" s="258"/>
      <c r="AI7" s="258"/>
      <c r="AJ7" s="258"/>
      <c r="AK7" s="259"/>
      <c r="AL7" s="120">
        <f>'4.21'!AL7+'4.22'!AL7+'4.23'!AL7+'4.24'!AL7+'4.25'!AL7+'4.26'!AL7+'4.27'!AL7+'4.28'!AL7+'4.29'!AL7+'4.30'!AL7</f>
        <v>0</v>
      </c>
      <c r="AM7" s="55" t="s">
        <v>208</v>
      </c>
      <c r="AN7" s="30" t="s">
        <v>209</v>
      </c>
      <c r="AO7" s="30" t="s">
        <v>44</v>
      </c>
      <c r="AP7" s="30" t="s">
        <v>210</v>
      </c>
      <c r="AQ7" s="30" t="s">
        <v>211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0</v>
      </c>
      <c r="D8" s="41">
        <f>'4.21'!D8+'4.22'!D8+'4.23'!D8+'4.24'!D8+'4.25'!D8+'4.26'!D8+'4.27'!D8+'4.28'!D8+'4.29'!D8+'4.30'!D8</f>
        <v>0</v>
      </c>
      <c r="E8" s="34">
        <f>'4.21'!E8</f>
        <v>0</v>
      </c>
      <c r="F8" s="42">
        <f>'4.21'!F8+'4.22'!F8+'4.23'!F8+'4.24'!F8+'4.25'!F8+'4.26'!F8+'4.27'!F8+'4.28'!F8+'4.29'!F8+'4.30'!F8</f>
        <v>0</v>
      </c>
      <c r="G8" s="444">
        <f>'4.21'!G8+'4.22'!G8+'4.23'!G8+'4.24'!G8+'4.25'!G8+'4.26'!G8+'4.27'!G8+'4.28'!G8+'4.29'!G8+'4.30'!G8</f>
        <v>0</v>
      </c>
      <c r="H8" s="308"/>
      <c r="I8" s="444">
        <f>'4.21'!I8+'4.22'!I8+'4.23'!I8+'4.24'!I8+'4.25'!I8+'4.26'!I8+'4.27'!I8+'4.28'!I8+'4.29'!I8+'4.30'!I8</f>
        <v>0</v>
      </c>
      <c r="J8" s="308"/>
      <c r="K8" s="41">
        <f>'4.30'!K8</f>
        <v>0</v>
      </c>
      <c r="L8" s="312"/>
      <c r="M8" s="64">
        <f>'4.21'!M8+'4.22'!M8+'4.23'!M8+'4.24'!M8+'4.25'!M8+'4.26'!M8+'4.27'!M8+'4.28'!M8+'4.29'!M8+'4.30'!M8</f>
        <v>0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82">
        <f>'4.21'!X8+'4.22'!X8+'4.23'!X8+'4.24'!X8+'4.25'!X8+'4.26'!X8+'4.27'!X8+'4.28'!X8+'4.29'!X8+'4.30'!X8</f>
        <v>0</v>
      </c>
      <c r="Y8" s="444">
        <f>'4.21'!Y8+'4.22'!Y8+'4.23'!Y8+'4.24'!Y8+'4.25'!Y8+'4.26'!Y8+'4.27'!Y8+'4.28'!Y8+'4.29'!Y8+'4.30'!Y8</f>
        <v>0</v>
      </c>
      <c r="Z8" s="329"/>
      <c r="AA8" s="100">
        <f>'4.21'!AA8+'4.22'!AA8+'4.23'!AA8+'4.24'!AA8+'4.25'!AA8+'4.26'!AA8+'4.27'!AA8+'4.28'!AA8+'4.29'!AA8+'4.30'!AA8</f>
        <v>0</v>
      </c>
      <c r="AB8" s="333"/>
      <c r="AC8" s="101">
        <f>'4.21'!AC8+'4.22'!AC8+'4.23'!AC8+'4.24'!AC8+'4.25'!AC8+'4.26'!AC8+'4.27'!AC8+'4.28'!AC8+'4.29'!AC8+'4.30'!AC8</f>
        <v>0</v>
      </c>
      <c r="AD8" s="444">
        <f>'4.21'!AD8+'4.22'!AD8+'4.23'!AD8+'4.24'!AD8+'4.25'!AD8+'4.26'!AD8+'4.27'!AD8+'4.28'!AD8+'4.29'!AD8+'4.30'!AD8</f>
        <v>0</v>
      </c>
      <c r="AE8" s="444">
        <f>'4.21'!AE8+'4.22'!AE8+'4.23'!AE8+'4.24'!AE8+'4.25'!AE8+'4.26'!AE8+'4.27'!AE8+'4.28'!AE8+'4.29'!AE8+'4.30'!AE8</f>
        <v>0</v>
      </c>
      <c r="AF8" s="336"/>
      <c r="AG8" s="85" t="s">
        <v>201</v>
      </c>
      <c r="AH8" s="49" t="s">
        <v>27</v>
      </c>
      <c r="AI8" s="49" t="s">
        <v>28</v>
      </c>
      <c r="AJ8" s="49" t="s">
        <v>20</v>
      </c>
      <c r="AK8" s="84" t="s">
        <v>15</v>
      </c>
      <c r="AL8" s="121">
        <f>'4.21'!AL8+'4.22'!AL8+'4.23'!AL8+'4.24'!AL8+'4.25'!AL8+'4.26'!AL8+'4.27'!AL8+'4.28'!AL8+'4.29'!AL8+'4.30'!AL8</f>
        <v>0</v>
      </c>
      <c r="AM8" s="118">
        <f>'4.21'!AM8</f>
        <v>497316.48</v>
      </c>
      <c r="AN8" s="122">
        <f>I6+AJ6+AL9+P11+AJ12+AJ9+AD9</f>
        <v>0</v>
      </c>
      <c r="AO8" s="150">
        <f>'4.21'!AO8+'4.22'!AO8+'4.23'!AO8+'4.24'!AO8+'4.25'!AO8+'4.26'!AO8+'4.27'!AO8+'4.28'!AO8+'4.29'!AO8+'4.30'!AO8</f>
        <v>0</v>
      </c>
      <c r="AP8" s="150">
        <f>'4.21'!AP8+'4.22'!AP8+'4.23'!AP8+'4.24'!AP8+'4.25'!AP8+'4.26'!AP8+'4.27'!AP8+'4.28'!AP8+'4.29'!AP8+'4.30'!AP8</f>
        <v>0</v>
      </c>
      <c r="AQ8" s="151">
        <f>AM8+AN8+AO8-AP8</f>
        <v>497316.48</v>
      </c>
      <c r="AR8" s="152">
        <f>'4.30'!AR8</f>
        <v>0</v>
      </c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0</v>
      </c>
      <c r="D9" s="44">
        <f t="shared" ref="D9:F9" si="1">D6+D7+D8</f>
        <v>0</v>
      </c>
      <c r="E9" s="45">
        <f>'4.21'!E9</f>
        <v>2947.2800000000502</v>
      </c>
      <c r="F9" s="32">
        <f t="shared" si="1"/>
        <v>0</v>
      </c>
      <c r="G9" s="32">
        <f>G6</f>
        <v>0</v>
      </c>
      <c r="H9" s="32">
        <f>H6</f>
        <v>0</v>
      </c>
      <c r="I9" s="32">
        <f>I6</f>
        <v>0</v>
      </c>
      <c r="J9" s="32">
        <f>J6</f>
        <v>0</v>
      </c>
      <c r="K9" s="65">
        <f>E9+F9-G9-H9-I9-J9</f>
        <v>2947.2800000000502</v>
      </c>
      <c r="L9" s="66">
        <f>'4.21'!L9</f>
        <v>51567.370000000097</v>
      </c>
      <c r="M9" s="32">
        <f>M6+M7+M8</f>
        <v>0</v>
      </c>
      <c r="N9" s="32">
        <f>N6</f>
        <v>0</v>
      </c>
      <c r="O9" s="32">
        <f>O6</f>
        <v>0</v>
      </c>
      <c r="P9" s="65">
        <f>L9+N9-O9+L11-L13</f>
        <v>51567.370000000097</v>
      </c>
      <c r="Q9" s="34">
        <f>'4.21'!Q9</f>
        <v>19.000000000000099</v>
      </c>
      <c r="R9" s="32">
        <f>R6</f>
        <v>0</v>
      </c>
      <c r="S9" s="32">
        <f>S6</f>
        <v>0</v>
      </c>
      <c r="T9" s="32">
        <f>T6</f>
        <v>0</v>
      </c>
      <c r="U9" s="65">
        <f>Q9+R9-S9-T9</f>
        <v>19.000000000000099</v>
      </c>
      <c r="V9" s="66">
        <f>'4.21'!V9</f>
        <v>732482.92</v>
      </c>
      <c r="W9" s="32">
        <f>W7</f>
        <v>0</v>
      </c>
      <c r="X9" s="32">
        <f>X6+X8</f>
        <v>0</v>
      </c>
      <c r="Y9" s="32">
        <f>Y6</f>
        <v>0</v>
      </c>
      <c r="Z9" s="102">
        <f>V9+W9-X9-Y9-AA9</f>
        <v>732482.92</v>
      </c>
      <c r="AA9" s="103">
        <f>AA6+AA8</f>
        <v>0</v>
      </c>
      <c r="AB9" s="104"/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'4.21'!AG9</f>
        <v>0</v>
      </c>
      <c r="AH9" s="124">
        <f>'4.21'!AH9+'4.22'!AH9+'4.23'!AH9+'4.24'!AH9+'4.25'!AH9+'4.26'!AH9+'4.27'!AH9+'4.28'!AH9+'4.29'!AH9+'4.30'!AH9</f>
        <v>0</v>
      </c>
      <c r="AI9" s="124">
        <f>'4.21'!AI9+'4.22'!AI9+'4.23'!AI9+'4.24'!AI9+'4.25'!AI9+'4.26'!AI9+'4.27'!AI9+'4.28'!AI9+'4.29'!AI9+'4.30'!AI9</f>
        <v>0</v>
      </c>
      <c r="AJ9" s="124">
        <f>'4.21'!AJ9+'4.22'!AJ9+'4.23'!AJ9+'4.24'!AJ9+'4.25'!AJ9+'4.26'!AJ9+'4.27'!AJ9+'4.28'!AJ9+'4.29'!AJ9+'4.30'!AJ9</f>
        <v>0</v>
      </c>
      <c r="AK9" s="125">
        <f>AG9+AH9-AI9-AJ9+AK14-AL14</f>
        <v>0</v>
      </c>
      <c r="AL9" s="126">
        <f>AL6+AL7+AL8</f>
        <v>0</v>
      </c>
      <c r="AM9" s="127" t="s">
        <v>212</v>
      </c>
      <c r="AN9" s="128" t="s">
        <v>213</v>
      </c>
      <c r="AO9" s="128" t="s">
        <v>53</v>
      </c>
      <c r="AP9" s="128" t="s">
        <v>214</v>
      </c>
      <c r="AQ9" s="153" t="s">
        <v>215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251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252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652145.93000000005</v>
      </c>
      <c r="AN10" s="130">
        <f t="shared" si="2"/>
        <v>0</v>
      </c>
      <c r="AO10" s="43">
        <f t="shared" si="2"/>
        <v>0</v>
      </c>
      <c r="AP10" s="43">
        <f t="shared" si="2"/>
        <v>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439">
        <f>'4.21'!A11+'4.22'!A11+'4.23'!A11+'4.24'!A11+'4.25'!A11+'4.26'!A11+'4.27'!A11+'4.28'!A11+'4.29'!A11+'4.30'!A11</f>
        <v>0</v>
      </c>
      <c r="B11" s="439">
        <f>'4.21'!B11+'4.22'!B11+'4.23'!B11+'4.24'!B11+'4.25'!B11+'4.26'!B11+'4.27'!B11+'4.28'!B11+'4.29'!B11+'4.30'!B11</f>
        <v>0</v>
      </c>
      <c r="C11" s="51">
        <f>'4.21'!C11+'4.22'!C11+'4.23'!C11+'4.24'!C11+'4.25'!C11+'4.26'!C11+'4.27'!C11+'4.28'!C11+'4.29'!C11+'4.30'!C11</f>
        <v>0</v>
      </c>
      <c r="D11" s="297"/>
      <c r="E11" s="264"/>
      <c r="F11" s="358"/>
      <c r="G11" s="49" t="s">
        <v>76</v>
      </c>
      <c r="H11" s="52">
        <f>'4.21'!H11+'4.22'!H11+'4.23'!H11+'4.24'!H11+'4.25'!H11+'4.26'!H11+'4.27'!H11+'4.28'!H11+'4.29'!H11+'4.30'!H11</f>
        <v>0</v>
      </c>
      <c r="I11" s="70">
        <f>'4.21'!I11+'4.22'!I11+'4.23'!I11+'4.24'!I11+'4.25'!I11+'4.26'!I11+'4.27'!I11+'4.28'!I11+'4.29'!I11+'4.30'!I11</f>
        <v>0</v>
      </c>
      <c r="J11" s="71">
        <f>'4.21'!J11+'4.22'!J11+'4.23'!J11+'4.24'!J11+'4.25'!J11+'4.26'!J11+'4.27'!J11+'4.28'!J11+'4.29'!J11+'4.30'!J11</f>
        <v>0</v>
      </c>
      <c r="K11" s="72">
        <f>ROUND(K6+K7+K8-K9,2)</f>
        <v>-2947.28</v>
      </c>
      <c r="L11" s="50">
        <f>'4.21'!L11+'4.22'!L11+'4.23'!L11+'4.24'!L11+'4.25'!L11+'4.26'!L11+'4.27'!L11+'4.28'!L11+'4.29'!L11+'4.30'!L11</f>
        <v>0</v>
      </c>
      <c r="M11" s="267"/>
      <c r="N11" s="267"/>
      <c r="O11" s="49" t="s">
        <v>37</v>
      </c>
      <c r="P11" s="73">
        <f>'4.21'!P11+'4.22'!P11+'4.23'!P11+'4.24'!P11+'4.25'!P11+'4.26'!P11+'4.27'!P11+'4.28'!P11+'4.29'!P11+'4.30'!P11</f>
        <v>0</v>
      </c>
      <c r="Q11" s="85" t="s">
        <v>77</v>
      </c>
      <c r="R11" s="86">
        <f>'4.21'!R11+'4.22'!R11+'4.23'!R11+'4.24'!R11+'4.25'!R11+'4.26'!R11+'4.27'!R11+'4.28'!R11+'4.29'!R11+'4.30'!R11</f>
        <v>0</v>
      </c>
      <c r="S11" s="87">
        <f>'4.21'!S11+'4.22'!S11+'4.23'!S11+'4.24'!S11+'4.25'!S11+'4.26'!S11+'4.27'!S11+'4.28'!S11+'4.29'!S11+'4.30'!S11</f>
        <v>0</v>
      </c>
      <c r="T11" s="88">
        <f>'4.21'!T11+'4.22'!T11+'4.23'!T11+'4.24'!T11+'4.25'!T11+'4.26'!T11+'4.27'!T11+'4.28'!T11+'4.29'!T11+'4.30'!T11</f>
        <v>0</v>
      </c>
      <c r="U11" s="89">
        <f>'4.21'!U11+'4.22'!U11+'4.23'!U11+'4.24'!U11+'4.25'!U11+'4.26'!U11+'4.27'!U11+'4.28'!U11+'4.29'!U11+'4.30'!U11</f>
        <v>0</v>
      </c>
      <c r="V11" s="350"/>
      <c r="W11" s="351"/>
      <c r="X11" s="294"/>
      <c r="Y11" s="294"/>
      <c r="Z11" s="330"/>
      <c r="AA11" s="73">
        <f>'4.30'!AA11</f>
        <v>0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52">
        <f>'4.21'!H12+'4.22'!H12+'4.23'!H12+'4.24'!H12+'4.25'!H12+'4.26'!H12+'4.27'!H12+'4.28'!H12+'4.29'!H12+'4.30'!H12</f>
        <v>0</v>
      </c>
      <c r="I12" s="70">
        <f>'4.21'!I12+'4.22'!I12+'4.23'!I12+'4.24'!I12+'4.25'!I12+'4.26'!I12+'4.27'!I12+'4.28'!I12+'4.29'!I12+'4.30'!I12</f>
        <v>0</v>
      </c>
      <c r="J12" s="71">
        <f>'4.21'!J12+'4.22'!J12+'4.23'!J12+'4.24'!J12+'4.25'!J12+'4.26'!J12+'4.27'!J12+'4.28'!J12+'4.29'!J12+'4.30'!J12</f>
        <v>0</v>
      </c>
      <c r="K12" s="309"/>
      <c r="L12" s="49" t="s">
        <v>87</v>
      </c>
      <c r="M12" s="267"/>
      <c r="N12" s="267"/>
      <c r="O12" s="49" t="s">
        <v>61</v>
      </c>
      <c r="P12" s="74">
        <f>'4.21'!P12+'4.22'!P12+'4.23'!P12+'4.24'!P12+'4.25'!P12+'4.26'!P12+'4.27'!P12+'4.28'!P12+'4.29'!P12+'4.30'!P12</f>
        <v>0</v>
      </c>
      <c r="Q12" s="90" t="s">
        <v>20</v>
      </c>
      <c r="R12" s="86">
        <f>'4.21'!R12+'4.22'!R12+'4.23'!R12+'4.24'!R12+'4.25'!R12+'4.26'!R12+'4.27'!R12+'4.28'!R12+'4.29'!R12+'4.30'!R12</f>
        <v>0</v>
      </c>
      <c r="S12" s="87">
        <f>'4.21'!S12+'4.22'!S12+'4.23'!S12+'4.24'!S12+'4.25'!S12+'4.26'!S12+'4.27'!S12+'4.28'!S12+'4.29'!S12+'4.30'!S12</f>
        <v>0</v>
      </c>
      <c r="T12" s="88">
        <f>'4.21'!T12+'4.22'!T12+'4.23'!T12+'4.24'!T12+'4.25'!T12+'4.26'!T12+'4.27'!T12+'4.28'!T12+'4.29'!T12+'4.30'!T12</f>
        <v>0</v>
      </c>
      <c r="U12" s="89">
        <f>'4.21'!U12+'4.22'!U12+'4.23'!U12+'4.24'!U12+'4.25'!U12+'4.26'!U12+'4.27'!U12+'4.28'!U12+'4.29'!U12+'4.30'!U12</f>
        <v>0</v>
      </c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'4.21'!AG12</f>
        <v>0</v>
      </c>
      <c r="AH12" s="114">
        <f>'4.21'!AH12+'4.22'!AH12+'4.23'!AH12+'4.24'!AH12+'4.25'!AH12+'4.26'!AH12+'4.27'!AH12+'4.28'!AH12+'4.29'!AH12+'4.30'!AH12</f>
        <v>0</v>
      </c>
      <c r="AI12" s="132">
        <f>AG12+AH12-AJ12-AK12</f>
        <v>0</v>
      </c>
      <c r="AJ12" s="114">
        <f>'4.21'!AJ12+'4.22'!AJ12+'4.23'!AJ12+'4.24'!AJ12+'4.25'!AJ12+'4.26'!AJ12+'4.27'!AJ12+'4.28'!AJ12+'4.29'!AJ12+'4.30'!AJ12</f>
        <v>0</v>
      </c>
      <c r="AK12" s="133">
        <f>'4.30'!AK12</f>
        <v>0</v>
      </c>
      <c r="AL12" s="340"/>
      <c r="AM12" s="134">
        <f>'4.21'!AM12</f>
        <v>550013.99</v>
      </c>
      <c r="AN12" s="38">
        <f>H11+P12+R12</f>
        <v>0</v>
      </c>
      <c r="AO12" s="52">
        <f>'4.21'!AO12+'4.22'!AO12+'4.23'!AO12+'4.24'!AO12+'4.25'!AO12+'4.26'!AO12+'4.27'!AO12+'4.28'!AO12+'4.29'!AO12+'4.30'!AO12</f>
        <v>0</v>
      </c>
      <c r="AP12" s="52">
        <f>'4.21'!AP12+'4.22'!AP12+'4.23'!AP12+'4.24'!AP12+'4.25'!AP12+'4.26'!AP12+'4.27'!AP12+'4.28'!AP12+'4.29'!AP12+'4.30'!AP12</f>
        <v>0</v>
      </c>
      <c r="AQ12" s="32">
        <f>AM12+AN12+AO12-AP12</f>
        <v>550013.99</v>
      </c>
      <c r="AR12" s="52">
        <f>'4.30'!AR12</f>
        <v>0</v>
      </c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0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50">
        <f>'4.21'!L13+'4.22'!L13+'4.23'!L13+'4.24'!L13+'4.25'!L13+'4.26'!L13+'4.27'!L13+'4.28'!L13+'4.29'!L13+'4.30'!L13</f>
        <v>0</v>
      </c>
      <c r="M13" s="267"/>
      <c r="N13" s="267"/>
      <c r="O13" s="49" t="s">
        <v>62</v>
      </c>
      <c r="P13" s="75">
        <f>'4.21'!P13+'4.22'!P13+'4.23'!P13+'4.24'!P13+'4.25'!P13+'4.26'!P13+'4.27'!P13+'4.28'!P13+'4.29'!P13+'4.30'!P13</f>
        <v>0</v>
      </c>
      <c r="Q13" s="90" t="s">
        <v>21</v>
      </c>
      <c r="R13" s="86">
        <f>'4.21'!R13+'4.22'!R13+'4.23'!R13+'4.24'!R13+'4.25'!R13+'4.26'!R13+'4.27'!R13+'4.28'!R13+'4.29'!R13+'4.30'!R13</f>
        <v>0</v>
      </c>
      <c r="S13" s="87">
        <f>'4.21'!S13+'4.22'!S13+'4.23'!S13+'4.24'!S13+'4.25'!S13+'4.26'!S13+'4.27'!S13+'4.28'!S13+'4.29'!S13+'4.30'!S13</f>
        <v>0</v>
      </c>
      <c r="T13" s="88">
        <f>'4.21'!T13+'4.22'!T13+'4.23'!T13+'4.24'!T13+'4.25'!T13+'4.26'!T13+'4.27'!T13+'4.28'!T13+'4.29'!T13+'4.30'!T13</f>
        <v>0</v>
      </c>
      <c r="U13" s="89">
        <f>'4.21'!U13+'4.22'!U13+'4.23'!U13+'4.24'!U13+'4.25'!U13+'4.26'!U13+'4.27'!U13+'4.28'!U13+'4.29'!U13+'4.30'!U13</f>
        <v>0</v>
      </c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216</v>
      </c>
      <c r="AN13" s="131" t="s">
        <v>96</v>
      </c>
      <c r="AO13" s="131" t="s">
        <v>97</v>
      </c>
      <c r="AP13" s="131" t="s">
        <v>217</v>
      </c>
      <c r="AQ13" s="131" t="s">
        <v>218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92">
        <f>'4.30'!R14</f>
        <v>0</v>
      </c>
      <c r="S14" s="92">
        <f>'4.30'!S14</f>
        <v>0</v>
      </c>
      <c r="T14" s="92">
        <f>'4.30'!T14</f>
        <v>0</v>
      </c>
      <c r="U14" s="92">
        <f>'4.30'!U14</f>
        <v>0</v>
      </c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114">
        <f>'4.21'!AG14+'4.22'!AG14+'4.23'!AG14+'4.24'!AG14+'4.25'!AG14+'4.26'!AG14+'4.27'!AG14+'4.28'!AG14+'4.29'!AG14+'4.30'!AG14</f>
        <v>0</v>
      </c>
      <c r="AH14" s="138">
        <f>IF(AG14-AH6&gt;0,AG14-AH6,IF(AG14-AH6&lt;=0,0))</f>
        <v>0</v>
      </c>
      <c r="AI14" s="138">
        <f>IF(AH6-AG14&gt;0,AH6-AG14,IF(AH6-AG14&lt;=0,0))</f>
        <v>0</v>
      </c>
      <c r="AJ14" s="114">
        <f>'4.21'!AJ14+'4.22'!AJ14+'4.23'!AJ14+'4.24'!AJ14+'4.25'!AJ14+'4.26'!AJ14+'4.27'!AJ14+'4.28'!AJ14+'4.29'!AJ14+'4.30'!AJ14</f>
        <v>0</v>
      </c>
      <c r="AK14" s="138">
        <f>IF(AJ14-AH9&gt;0,AJ14-AH9,IF(AJ14-AH9&lt;=0,0))</f>
        <v>0</v>
      </c>
      <c r="AL14" s="139">
        <f>IF(AH9-AJ14&gt;0,AH9-AJ14,IF(AJ14-AH9&lt;=0,0))</f>
        <v>0</v>
      </c>
      <c r="AM14" s="66">
        <f>'4.21'!AM14</f>
        <v>102131.94</v>
      </c>
      <c r="AN14" s="38">
        <f>I11+P13+S12</f>
        <v>0</v>
      </c>
      <c r="AO14" s="86">
        <f>'4.21'!AO14+'4.22'!AO14+'4.23'!AO14+'4.24'!AO14+'4.25'!AO14+'4.26'!AO14+'4.27'!AO14+'4.28'!AO14+'4.29'!AO14+'4.30'!AO14</f>
        <v>0</v>
      </c>
      <c r="AP14" s="86">
        <f>'4.21'!AP14+'4.22'!AP14+'4.23'!AP14+'4.24'!AP14+'4.25'!AP14+'4.26'!AP14+'4.27'!AP14+'4.28'!AP14+'4.29'!AP14+'4.30'!AP14</f>
        <v>0</v>
      </c>
      <c r="AQ14" s="32">
        <f>AM14+AN14+AO14-AP14</f>
        <v>102131.94</v>
      </c>
      <c r="AR14" s="86">
        <f>'4.30'!AR14</f>
        <v>0</v>
      </c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219</v>
      </c>
      <c r="AN15" s="141" t="s">
        <v>220</v>
      </c>
      <c r="AO15" s="141" t="s">
        <v>107</v>
      </c>
      <c r="AP15" s="141" t="s">
        <v>221</v>
      </c>
      <c r="AQ15" s="28" t="s">
        <v>222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'4.21'!AM16</f>
        <v>0</v>
      </c>
      <c r="AN16" s="53">
        <f>J11+T12</f>
        <v>0</v>
      </c>
      <c r="AO16" s="87">
        <f>'4.21'!AO16+'4.22'!AO16+'4.23'!AO16+'4.24'!AO16+'4.25'!AO16+'4.26'!AO16+'4.27'!AO16+'4.28'!AO16+'4.29'!AO16+'4.30'!AO16+'4.31'!AO16</f>
        <v>0</v>
      </c>
      <c r="AP16" s="87">
        <f>'4.21'!AP16+'4.22'!AP16+'4.23'!AP16+'4.24'!AP16+'4.25'!AP16+'4.26'!AP16+'4.27'!AP16+'4.28'!AP16+'4.29'!AP16+'4.30'!AP16+'4.31'!AP16</f>
        <v>0</v>
      </c>
      <c r="AQ16" s="53">
        <f>AM16+AN16+AO16-AP16</f>
        <v>0</v>
      </c>
      <c r="AR16" s="87">
        <f>'4.30'!AR16</f>
        <v>0</v>
      </c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223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224</v>
      </c>
      <c r="AN17" s="144" t="s">
        <v>225</v>
      </c>
      <c r="AO17" s="144" t="s">
        <v>124</v>
      </c>
      <c r="AP17" s="144" t="s">
        <v>226</v>
      </c>
      <c r="AQ17" s="56" t="s">
        <v>227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'4.21'!AM18</f>
        <v>0</v>
      </c>
      <c r="AN18" s="53">
        <f>U12</f>
        <v>0</v>
      </c>
      <c r="AO18" s="88">
        <f>'4.21'!AO18+'4.22'!AO18+'4.23'!AO18+'4.24'!AO18+'4.25'!AO18+'4.26'!AO18+'4.27'!AO18+'4.28'!AO18+'4.29'!AO18+'4.30'!AO18</f>
        <v>0</v>
      </c>
      <c r="AP18" s="88">
        <f>'4.21'!AP18+'4.22'!AP18+'4.23'!AP18+'4.24'!AP18+'4.25'!AP18+'4.26'!AP18+'4.27'!AP18+'4.28'!AP18+'4.29'!AP18+'4.30'!AP18</f>
        <v>0</v>
      </c>
      <c r="AQ18" s="53">
        <f>AM18+AN18+AO18-AP18</f>
        <v>0</v>
      </c>
      <c r="AR18" s="88">
        <f>'4.30'!AR18</f>
        <v>0</v>
      </c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'4.21'!C19</f>
        <v>779060.67</v>
      </c>
      <c r="D19" s="277"/>
      <c r="E19" s="313">
        <f>'4.21'!E19+'4.22'!E19+'4.23'!E19+'4.24'!E19+'4.25'!E19+'4.26'!E19+'4.27'!E19+'4.28'!E19+'4.29'!E19+'4.30'!E19</f>
        <v>0</v>
      </c>
      <c r="F19" s="313">
        <f>'4.21'!F19+'4.22'!F19+'4.23'!F19+'4.24'!F19+'4.25'!F19+'4.26'!F19+'4.27'!F19+'4.28'!F19+'4.29'!F19+'4.30'!F19</f>
        <v>0</v>
      </c>
      <c r="G19" s="46" t="s">
        <v>139</v>
      </c>
      <c r="H19" s="58">
        <f>'4.21'!H19</f>
        <v>0</v>
      </c>
      <c r="I19" s="76"/>
      <c r="J19" s="49"/>
      <c r="K19" s="32">
        <f>'4.30'!K19</f>
        <v>0</v>
      </c>
      <c r="L19" s="32">
        <f>'4.21'!L19+'4.22'!L19+'4.23'!L19+'4.24'!L19+'4.25'!L19+'4.26'!L19+'4.27'!L19+'4.28'!L19+'4.29'!L19+'4.30'!L19</f>
        <v>0</v>
      </c>
      <c r="M19" s="277">
        <f>'4.21'!M19+'4.22'!M19+'4.23'!M19+'4.24'!M19+'4.25'!M19+'4.26'!M19+'4.27'!M19+'4.28'!M19+'4.29'!M19+'4.30'!M19</f>
        <v>0</v>
      </c>
      <c r="N19" s="277">
        <f>'4.21'!N19+'4.22'!N19+'4.23'!N19+'4.24'!N19+'4.25'!N19+'4.26'!N19+'4.27'!N19+'4.28'!N19+'4.29'!N19+'4.30'!N19</f>
        <v>0</v>
      </c>
      <c r="O19" s="362">
        <f>M19+M20+M21+M22</f>
        <v>0</v>
      </c>
      <c r="P19" s="363"/>
      <c r="Q19" s="362">
        <f>C19+E19-O19</f>
        <v>779060.67</v>
      </c>
      <c r="R19" s="363"/>
      <c r="S19" s="445">
        <f>'4.30'!S19</f>
        <v>0</v>
      </c>
      <c r="T19" s="446">
        <f>'4.30'!T19</f>
        <v>0</v>
      </c>
      <c r="U19" s="323">
        <f>S19-Q19</f>
        <v>-779060.67</v>
      </c>
      <c r="V19" s="323">
        <f>'4.30'!U19-'4.21'!U19</f>
        <v>0</v>
      </c>
      <c r="W19" s="306">
        <f>'4.30'!W19</f>
        <v>0</v>
      </c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228</v>
      </c>
      <c r="AN19" s="141" t="s">
        <v>229</v>
      </c>
      <c r="AO19" s="28" t="s">
        <v>142</v>
      </c>
      <c r="AP19" s="28" t="s">
        <v>230</v>
      </c>
      <c r="AQ19" s="28" t="s">
        <v>231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/>
      <c r="D20" s="277"/>
      <c r="E20" s="313">
        <f>'4.21'!E20+'4.22'!E20+'4.23'!E20+'4.24'!E20+'4.25'!E20+'4.26'!E20+'4.27'!E20+'4.28'!E20+'4.29'!E20+'4.30'!E20</f>
        <v>0</v>
      </c>
      <c r="F20" s="313">
        <f>'4.21'!F20+'4.22'!F20+'4.23'!F20+'4.24'!F20+'4.25'!F20+'4.26'!F20+'4.27'!F20+'4.28'!F20+'4.29'!F20+'4.30'!F20</f>
        <v>0</v>
      </c>
      <c r="G20" s="46" t="s">
        <v>147</v>
      </c>
      <c r="H20" s="58">
        <f>'4.21'!H20</f>
        <v>0</v>
      </c>
      <c r="I20" s="76"/>
      <c r="J20" s="49"/>
      <c r="K20" s="32">
        <f>'4.30'!K20</f>
        <v>0</v>
      </c>
      <c r="L20" s="32">
        <f>'4.21'!L20+'4.22'!L20+'4.23'!L20+'4.24'!L20+'4.25'!L20+'4.26'!L20+'4.27'!L20+'4.28'!L20+'4.29'!L20+'4.30'!L20</f>
        <v>0</v>
      </c>
      <c r="M20" s="277">
        <f>'4.21'!M20+'4.22'!M20+'4.23'!M20+'4.24'!M20+'4.25'!M20+'4.26'!M20+'4.27'!M20+'4.28'!M20+'4.29'!M20+'4.30'!M20</f>
        <v>0</v>
      </c>
      <c r="N20" s="277">
        <f>'4.21'!N20+'4.22'!N20+'4.23'!N20+'4.24'!N20+'4.25'!N20+'4.26'!N20+'4.27'!N20+'4.28'!N20+'4.29'!N20+'4.30'!N20</f>
        <v>0</v>
      </c>
      <c r="O20" s="364"/>
      <c r="P20" s="365"/>
      <c r="Q20" s="364"/>
      <c r="R20" s="365"/>
      <c r="S20" s="447">
        <f>'4.30'!S20</f>
        <v>0</v>
      </c>
      <c r="T20" s="448">
        <f>'4.30'!T20</f>
        <v>0</v>
      </c>
      <c r="U20" s="324"/>
      <c r="V20" s="324"/>
      <c r="W20" s="307">
        <f>'4.30'!W20</f>
        <v>0</v>
      </c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'4.21'!AM20</f>
        <v>0</v>
      </c>
      <c r="AN20" s="28"/>
      <c r="AO20" s="156">
        <f>'4.21'!AO20+'4.22'!AO20+'4.23'!AO20+'4.24'!AO20+'4.25'!AO20+'4.26'!AO20+'4.27'!AO20+'4.28'!AO20+'4.29'!AO20+'4.30'!AO20</f>
        <v>0</v>
      </c>
      <c r="AP20" s="156">
        <f>'4.21'!AP20+'4.22'!AP20+'4.23'!AP20+'4.24'!AP20+'4.25'!AP20+'4.26'!AP20+'4.27'!AP20+'4.28'!AP20+'4.29'!AP20+'4.30'!AP20</f>
        <v>0</v>
      </c>
      <c r="AQ20" s="53">
        <f>AM20+AN20+AO20-AP20</f>
        <v>0</v>
      </c>
      <c r="AR20" s="156">
        <f>'4.30'!AR20</f>
        <v>0</v>
      </c>
      <c r="AS20" s="155">
        <f>ROUND(AR20-AQ20,2)</f>
        <v>0</v>
      </c>
    </row>
    <row r="21" spans="1:45" ht="18" customHeight="1">
      <c r="A21" s="286"/>
      <c r="B21" s="292"/>
      <c r="C21" s="277"/>
      <c r="D21" s="277"/>
      <c r="E21" s="313">
        <f>'4.21'!E21+'4.22'!E21+'4.23'!E21+'4.24'!E21+'4.25'!E21+'4.26'!E21+'4.27'!E21+'4.28'!E21+'4.29'!E21+'4.30'!E21</f>
        <v>0</v>
      </c>
      <c r="F21" s="313">
        <f>'4.21'!F21+'4.22'!F21+'4.23'!F21+'4.24'!F21+'4.25'!F21+'4.26'!F21+'4.27'!F21+'4.28'!F21+'4.29'!F21+'4.30'!F21</f>
        <v>0</v>
      </c>
      <c r="G21" s="46" t="s">
        <v>148</v>
      </c>
      <c r="H21" s="58">
        <f>'4.21'!H21</f>
        <v>0</v>
      </c>
      <c r="I21" s="76"/>
      <c r="J21" s="49"/>
      <c r="K21" s="32">
        <f>'4.30'!K21</f>
        <v>0</v>
      </c>
      <c r="L21" s="32">
        <f>'4.21'!L21+'4.22'!L21+'4.23'!L21+'4.24'!L21+'4.25'!L21+'4.26'!L21+'4.27'!L21+'4.28'!L21+'4.29'!L21+'4.30'!L21</f>
        <v>0</v>
      </c>
      <c r="M21" s="277">
        <f>'4.21'!M21+'4.22'!M21+'4.23'!M21+'4.24'!M21+'4.25'!M21+'4.26'!M21+'4.27'!M21+'4.28'!M21+'4.29'!M21+'4.30'!M21</f>
        <v>0</v>
      </c>
      <c r="N21" s="277">
        <f>'4.21'!N21+'4.22'!N21+'4.23'!N21+'4.24'!N21+'4.25'!N21+'4.26'!N21+'4.27'!N21+'4.28'!N21+'4.29'!N21+'4.30'!N21</f>
        <v>0</v>
      </c>
      <c r="O21" s="364"/>
      <c r="P21" s="365"/>
      <c r="Q21" s="364"/>
      <c r="R21" s="365"/>
      <c r="S21" s="447">
        <f>'4.30'!S21</f>
        <v>0</v>
      </c>
      <c r="T21" s="448">
        <f>'4.30'!T21</f>
        <v>0</v>
      </c>
      <c r="U21" s="324"/>
      <c r="V21" s="324"/>
      <c r="W21" s="307">
        <f>'4.30'!W21</f>
        <v>0</v>
      </c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232</v>
      </c>
      <c r="AN21" s="141" t="s">
        <v>233</v>
      </c>
      <c r="AO21" s="28" t="s">
        <v>151</v>
      </c>
      <c r="AP21" s="28" t="s">
        <v>234</v>
      </c>
      <c r="AQ21" s="28" t="s">
        <v>235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/>
      <c r="D22" s="277"/>
      <c r="E22" s="313">
        <f>'4.21'!E22+'4.22'!E22+'4.23'!E22+'4.24'!E22+'4.25'!E22+'4.26'!E22+'4.27'!E22+'4.28'!E22+'4.29'!E22+'4.30'!E22</f>
        <v>0</v>
      </c>
      <c r="F22" s="313">
        <f>'4.21'!F22+'4.22'!F22+'4.23'!F22+'4.24'!F22+'4.25'!F22+'4.26'!F22+'4.27'!F22+'4.28'!F22+'4.29'!F22+'4.30'!F22</f>
        <v>0</v>
      </c>
      <c r="G22" s="46" t="s">
        <v>156</v>
      </c>
      <c r="H22" s="58">
        <f>'4.21'!H22</f>
        <v>0</v>
      </c>
      <c r="I22" s="76"/>
      <c r="J22" s="49"/>
      <c r="K22" s="32">
        <f>'4.30'!K22</f>
        <v>0</v>
      </c>
      <c r="L22" s="32">
        <f>'4.21'!L22+'4.22'!L22+'4.23'!L22+'4.24'!L22+'4.25'!L22+'4.26'!L22+'4.27'!L22+'4.28'!L22+'4.29'!L22+'4.30'!L22</f>
        <v>0</v>
      </c>
      <c r="M22" s="277">
        <f>'4.21'!M22+'4.22'!M22+'4.23'!M22+'4.24'!M22+'4.25'!M22+'4.26'!M22+'4.27'!M22+'4.28'!M22+'4.29'!M22+'4.30'!M22</f>
        <v>0</v>
      </c>
      <c r="N22" s="277">
        <f>'4.21'!N22+'4.22'!N22+'4.23'!N22+'4.24'!N22+'4.25'!N22+'4.26'!N22+'4.27'!N22+'4.28'!N22+'4.29'!N22+'4.30'!N22</f>
        <v>0</v>
      </c>
      <c r="O22" s="364"/>
      <c r="P22" s="365"/>
      <c r="Q22" s="364"/>
      <c r="R22" s="365"/>
      <c r="S22" s="447">
        <f>'4.30'!S22</f>
        <v>0</v>
      </c>
      <c r="T22" s="448">
        <f>'4.30'!T22</f>
        <v>0</v>
      </c>
      <c r="U22" s="324"/>
      <c r="V22" s="324"/>
      <c r="W22" s="307">
        <f>'4.30'!W22</f>
        <v>0</v>
      </c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'4.21'!AM22</f>
        <v>0</v>
      </c>
      <c r="AN22" s="28"/>
      <c r="AO22" s="70">
        <f>'4.21'!AO22+'4.22'!AO22+'4.23'!AO22+'4.24'!AO22+'4.25'!AO22+'4.26'!AO22+'4.27'!AO22+'4.28'!AO22+'4.29'!AO22+'4.30'!AO22</f>
        <v>0</v>
      </c>
      <c r="AP22" s="70">
        <f>'4.21'!AP22+'4.22'!AP22+'4.23'!AP22+'4.24'!AP22+'4.25'!AP22+'4.26'!AP22+'4.27'!AP22+'4.28'!AP22+'4.29'!AP22+'4.30'!AP22</f>
        <v>0</v>
      </c>
      <c r="AQ22" s="53">
        <f>AM22+AN22+AO22-AP22</f>
        <v>0</v>
      </c>
      <c r="AR22" s="70">
        <f>'4.30'!AR22</f>
        <v>0</v>
      </c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'4.21'!C23</f>
        <v>345566.13</v>
      </c>
      <c r="D23" s="277"/>
      <c r="E23" s="313">
        <f>'4.21'!E23+'4.22'!E23+'4.23'!E23+'4.24'!E23+'4.25'!E23+'4.26'!E23+'4.27'!E23+'4.28'!E23+'4.29'!E23+'4.30'!E23</f>
        <v>0</v>
      </c>
      <c r="F23" s="313">
        <f>'4.21'!F23+'4.22'!F23+'4.23'!F23+'4.24'!F23+'4.25'!F23+'4.26'!F23+'4.27'!F23+'4.28'!F23+'4.29'!F23+'4.30'!F23</f>
        <v>0</v>
      </c>
      <c r="G23" s="46" t="s">
        <v>157</v>
      </c>
      <c r="H23" s="58">
        <f>'4.21'!H23</f>
        <v>0</v>
      </c>
      <c r="I23" s="76"/>
      <c r="J23" s="49"/>
      <c r="K23" s="32">
        <f>'4.30'!K23</f>
        <v>0</v>
      </c>
      <c r="L23" s="32">
        <f>'4.21'!L23+'4.22'!L23+'4.23'!L23+'4.24'!L23+'4.25'!L23+'4.26'!L23+'4.27'!L23+'4.28'!L23+'4.29'!L23+'4.30'!L23</f>
        <v>0</v>
      </c>
      <c r="M23" s="277">
        <f>'4.21'!M23+'4.22'!M23+'4.23'!M23+'4.24'!M23+'4.25'!M23+'4.26'!M23+'4.27'!M23+'4.28'!M23+'4.29'!M23+'4.30'!M23</f>
        <v>0</v>
      </c>
      <c r="N23" s="277">
        <f>'4.21'!N23+'4.22'!N23+'4.23'!N23+'4.24'!N23+'4.25'!N23+'4.26'!N23+'4.27'!N23+'4.28'!N23+'4.29'!N23+'4.30'!N23</f>
        <v>0</v>
      </c>
      <c r="O23" s="277">
        <f>M23+M24+M25</f>
        <v>0</v>
      </c>
      <c r="P23" s="277"/>
      <c r="Q23" s="277">
        <f>C23+E23-O23</f>
        <v>345566.13</v>
      </c>
      <c r="R23" s="277"/>
      <c r="S23" s="313">
        <f>'4.30'!S23</f>
        <v>0</v>
      </c>
      <c r="T23" s="313">
        <f>'4.30'!T23</f>
        <v>0</v>
      </c>
      <c r="U23" s="277">
        <f>S23-Q23</f>
        <v>-345566.13</v>
      </c>
      <c r="V23" s="277">
        <f>'4.30'!U23-'4.21'!U23</f>
        <v>0</v>
      </c>
      <c r="W23" s="313">
        <f>'4.30'!W23</f>
        <v>0</v>
      </c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236</v>
      </c>
      <c r="AN23" s="141" t="s">
        <v>237</v>
      </c>
      <c r="AO23" s="28" t="s">
        <v>161</v>
      </c>
      <c r="AP23" s="28" t="s">
        <v>238</v>
      </c>
      <c r="AQ23" s="28" t="s">
        <v>239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/>
      <c r="D24" s="277"/>
      <c r="E24" s="313">
        <f>'4.21'!E24+'4.22'!E24+'4.23'!E24+'4.24'!E24+'4.25'!E24+'4.26'!E24+'4.27'!E24+'4.28'!E24+'4.29'!E24+'4.30'!E24</f>
        <v>0</v>
      </c>
      <c r="F24" s="313">
        <f>'4.21'!F24+'4.22'!F24+'4.23'!F24+'4.24'!F24+'4.25'!F24+'4.26'!F24+'4.27'!F24+'4.28'!F24+'4.29'!F24+'4.30'!F24</f>
        <v>0</v>
      </c>
      <c r="G24" s="46" t="s">
        <v>137</v>
      </c>
      <c r="H24" s="58">
        <f>'4.21'!H24</f>
        <v>0</v>
      </c>
      <c r="I24" s="76"/>
      <c r="J24" s="49"/>
      <c r="K24" s="32">
        <f>'4.30'!K24</f>
        <v>0</v>
      </c>
      <c r="L24" s="32">
        <f>'4.21'!L24+'4.22'!L24+'4.23'!L24+'4.24'!L24+'4.25'!L24+'4.26'!L24+'4.27'!L24+'4.28'!L24+'4.29'!L24+'4.30'!L24</f>
        <v>0</v>
      </c>
      <c r="M24" s="277">
        <f>'4.21'!M24+'4.22'!M24+'4.23'!M24+'4.24'!M24+'4.25'!M24+'4.26'!M24+'4.27'!M24+'4.28'!M24+'4.29'!M24+'4.30'!M24</f>
        <v>0</v>
      </c>
      <c r="N24" s="277">
        <f>'4.21'!N24+'4.22'!N24+'4.23'!N24+'4.24'!N24+'4.25'!N24+'4.26'!N24+'4.27'!N24+'4.28'!N24+'4.29'!N24+'4.30'!N24</f>
        <v>0</v>
      </c>
      <c r="O24" s="277"/>
      <c r="P24" s="277"/>
      <c r="Q24" s="277"/>
      <c r="R24" s="277"/>
      <c r="S24" s="313">
        <f>'4.30'!S24</f>
        <v>0</v>
      </c>
      <c r="T24" s="313">
        <f>'4.30'!T24</f>
        <v>0</v>
      </c>
      <c r="U24" s="277"/>
      <c r="V24" s="277">
        <f>'4.31'!U24-'4.21'!U24</f>
        <v>0</v>
      </c>
      <c r="W24" s="313">
        <f>'4.30'!W24</f>
        <v>0</v>
      </c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'4.21'!AM24</f>
        <v>0</v>
      </c>
      <c r="AN24" s="28"/>
      <c r="AO24" s="71">
        <f>'4.21'!AO24+'4.22'!AO24+'4.23'!AO24+'4.24'!AO24+'4.25'!AO24+'4.26'!AO24+'4.27'!AO24+'4.28'!AO24+'4.29'!AO24+'4.30'!AO24</f>
        <v>0</v>
      </c>
      <c r="AP24" s="71">
        <f>'4.21'!AP24+'4.22'!AP24+'4.23'!AP24+'4.24'!AP24+'4.25'!AP24+'4.26'!AP24+'4.27'!AP24+'4.28'!AP24+'4.29'!AP24+'4.30'!AP24</f>
        <v>0</v>
      </c>
      <c r="AQ24" s="53">
        <f>AM24+AN24+AO24-AP24</f>
        <v>0</v>
      </c>
      <c r="AR24" s="71">
        <f>'4.30'!AR24</f>
        <v>0</v>
      </c>
      <c r="AS24" s="155">
        <f>ROUND(AR24-AQ24,2)</f>
        <v>0</v>
      </c>
    </row>
    <row r="25" spans="1:45" ht="18" customHeight="1">
      <c r="A25" s="289"/>
      <c r="B25" s="293"/>
      <c r="C25" s="277"/>
      <c r="D25" s="277"/>
      <c r="E25" s="313">
        <f>'4.21'!E25+'4.22'!E25+'4.23'!E25+'4.24'!E25+'4.25'!E25+'4.26'!E25+'4.27'!E25+'4.28'!E25+'4.29'!E25+'4.30'!E25</f>
        <v>0</v>
      </c>
      <c r="F25" s="313">
        <f>'4.21'!F25+'4.22'!F25+'4.23'!F25+'4.24'!F25+'4.25'!F25+'4.26'!F25+'4.27'!F25+'4.28'!F25+'4.29'!F25+'4.30'!F25</f>
        <v>0</v>
      </c>
      <c r="G25" s="46" t="s">
        <v>166</v>
      </c>
      <c r="H25" s="58">
        <f>'4.21'!H25</f>
        <v>0</v>
      </c>
      <c r="I25" s="76"/>
      <c r="J25" s="49"/>
      <c r="K25" s="32">
        <f>'4.30'!K25</f>
        <v>0</v>
      </c>
      <c r="L25" s="32">
        <f>'4.21'!L25+'4.22'!L25+'4.23'!L25+'4.24'!L25+'4.25'!L25+'4.26'!L25+'4.27'!L25+'4.28'!L25+'4.29'!L25+'4.30'!L25</f>
        <v>0</v>
      </c>
      <c r="M25" s="277">
        <f>'4.21'!M25+'4.22'!M25+'4.23'!M25+'4.24'!M25+'4.25'!M25+'4.26'!M25+'4.27'!M25+'4.28'!M25+'4.29'!M25+'4.30'!M25</f>
        <v>0</v>
      </c>
      <c r="N25" s="277">
        <f>'4.21'!N25+'4.22'!N25+'4.23'!N25+'4.24'!N25+'4.25'!N25+'4.26'!N25+'4.27'!N25+'4.28'!N25+'4.29'!N25+'4.30'!N25</f>
        <v>0</v>
      </c>
      <c r="O25" s="277"/>
      <c r="P25" s="277"/>
      <c r="Q25" s="277"/>
      <c r="R25" s="277"/>
      <c r="S25" s="313">
        <f>'4.30'!S25</f>
        <v>0</v>
      </c>
      <c r="T25" s="313">
        <f>'4.30'!T25</f>
        <v>0</v>
      </c>
      <c r="U25" s="277"/>
      <c r="V25" s="277">
        <f>'4.31'!U25-'4.21'!U25</f>
        <v>0</v>
      </c>
      <c r="W25" s="313">
        <f>'4.30'!W25</f>
        <v>0</v>
      </c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240</v>
      </c>
      <c r="AN25" s="141" t="s">
        <v>241</v>
      </c>
      <c r="AO25" s="28" t="s">
        <v>169</v>
      </c>
      <c r="AP25" s="28" t="s">
        <v>242</v>
      </c>
      <c r="AQ25" s="28" t="s">
        <v>243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'4.21'!C26</f>
        <v>21204.52</v>
      </c>
      <c r="D26" s="277">
        <f>'4.31'!D26</f>
        <v>0</v>
      </c>
      <c r="E26" s="440">
        <f>'4.21'!E26+'4.22'!E26+'4.23'!E26+'4.24'!E26+'4.25'!E26+'4.26'!E26+'4.27'!E26+'4.28'!E26+'4.29'!E26+'4.30'!E26</f>
        <v>0</v>
      </c>
      <c r="F26" s="441">
        <f>'4.21'!F26+'4.22'!F26+'4.23'!F26+'4.24'!F26+'4.25'!F26+'4.26'!F26+'4.27'!F26+'4.28'!F26+'4.29'!F26+'4.30'!F26</f>
        <v>0</v>
      </c>
      <c r="G26" s="28" t="s">
        <v>175</v>
      </c>
      <c r="H26" s="58">
        <f>'4.21'!H26</f>
        <v>0</v>
      </c>
      <c r="I26" s="76"/>
      <c r="J26" s="49"/>
      <c r="K26" s="32">
        <f>'4.30'!K26</f>
        <v>0</v>
      </c>
      <c r="L26" s="32">
        <f>'4.21'!L26+'4.22'!L26+'4.23'!L26+'4.24'!L26+'4.25'!L26+'4.26'!L26+'4.27'!L26+'4.28'!L26+'4.29'!L26+'4.30'!L26</f>
        <v>0</v>
      </c>
      <c r="M26" s="277">
        <f>'4.21'!M26+'4.22'!M26+'4.23'!M26+'4.24'!M26+'4.25'!M26+'4.26'!M26+'4.27'!M26+'4.28'!M26+'4.29'!M26+'4.30'!M26</f>
        <v>0</v>
      </c>
      <c r="N26" s="277">
        <f>'4.21'!N26+'4.22'!N26+'4.23'!N26+'4.24'!N26+'4.25'!N26+'4.26'!N26+'4.27'!N26+'4.28'!N26+'4.29'!N26+'4.30'!N26</f>
        <v>0</v>
      </c>
      <c r="O26" s="277">
        <f>M26</f>
        <v>0</v>
      </c>
      <c r="P26" s="277"/>
      <c r="Q26" s="277">
        <f>C26+E26-O26</f>
        <v>21204.52</v>
      </c>
      <c r="R26" s="277"/>
      <c r="S26" s="313">
        <f>'4.30'!S26</f>
        <v>0</v>
      </c>
      <c r="T26" s="313">
        <f>'4.30'!T26</f>
        <v>0</v>
      </c>
      <c r="U26" s="53">
        <f>S26-Q26</f>
        <v>-21204.52</v>
      </c>
      <c r="V26" s="53">
        <f>'4.30'!U26-'4.21'!U26</f>
        <v>0</v>
      </c>
      <c r="W26" s="32">
        <f>'4.30'!W26</f>
        <v>0</v>
      </c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'4.21'!AM26</f>
        <v>0</v>
      </c>
      <c r="AN26" s="110"/>
      <c r="AO26" s="157">
        <f>'4.21'!AO26+'4.22'!AO26+'4.23'!AO26+'4.24'!AO26+'4.25'!AO26+'4.26'!AO26+'4.27'!AO26+'4.28'!AO26+'4.29'!AO26+'4.30'!AO26</f>
        <v>0</v>
      </c>
      <c r="AP26" s="157">
        <f>'4.21'!AP26+'4.22'!AP26+'4.23'!AP26+'4.24'!AP26+'4.25'!AP26+'4.26'!AP26+'4.27'!AP26+'4.28'!AP26+'4.29'!AP26+'4.30'!AP26</f>
        <v>0</v>
      </c>
      <c r="AQ26" s="147">
        <f>AM26+AN26+AO26-AP26</f>
        <v>0</v>
      </c>
      <c r="AR26" s="152">
        <f>'4.30'!AR26</f>
        <v>0</v>
      </c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</sheetData>
  <sheetProtection formatCells="0" formatColumns="0" formatRows="0"/>
  <mergeCells count="145">
    <mergeCell ref="S23:T25"/>
    <mergeCell ref="X23:AL25"/>
    <mergeCell ref="X19:AL22"/>
    <mergeCell ref="A1:AN2"/>
    <mergeCell ref="AO1:AS2"/>
    <mergeCell ref="A3:B5"/>
    <mergeCell ref="X17:AL18"/>
    <mergeCell ref="A15:AL16"/>
    <mergeCell ref="V10:W13"/>
    <mergeCell ref="E10:F14"/>
    <mergeCell ref="AB10:AF14"/>
    <mergeCell ref="A12:B14"/>
    <mergeCell ref="C19:D22"/>
    <mergeCell ref="E19:F22"/>
    <mergeCell ref="O19:P22"/>
    <mergeCell ref="Q19:R22"/>
    <mergeCell ref="S19:T22"/>
    <mergeCell ref="C17:D18"/>
    <mergeCell ref="E17:F18"/>
    <mergeCell ref="Q17:R18"/>
    <mergeCell ref="S17:T18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5" priority="1" operator="notEqual">
      <formula>0</formula>
    </cfRule>
  </conditionalFormatting>
  <conditionalFormatting sqref="W14">
    <cfRule type="cellIs" dxfId="4" priority="2" operator="notEqual">
      <formula>0</formula>
    </cfRule>
  </conditionalFormatting>
  <conditionalFormatting sqref="AS14 AS16 AS18 AS20 AS22 AS24 AS26 AS12 K11 AS6 AS8 AS10 AA13">
    <cfRule type="cellIs" dxfId="3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AS29"/>
  <sheetViews>
    <sheetView topLeftCell="N1" workbookViewId="0">
      <selection sqref="A1:AS26"/>
    </sheetView>
  </sheetViews>
  <sheetFormatPr defaultColWidth="9" defaultRowHeight="13.5"/>
  <cols>
    <col min="1" max="1" width="5.125" style="27" customWidth="1"/>
    <col min="2" max="2" width="4.25" style="27" customWidth="1"/>
    <col min="3" max="3" width="8.125" style="27" customWidth="1"/>
    <col min="4" max="4" width="7.125" style="27" customWidth="1"/>
    <col min="5" max="6" width="9" style="27"/>
    <col min="7" max="7" width="7.375" style="27" customWidth="1"/>
    <col min="8" max="8" width="11" style="27" customWidth="1"/>
    <col min="9" max="9" width="12.125" style="27" customWidth="1"/>
    <col min="10" max="10" width="10.75" style="27" customWidth="1"/>
    <col min="11" max="11" width="11.25" style="27" customWidth="1"/>
    <col min="12" max="20" width="9" style="27"/>
    <col min="21" max="21" width="9.625" style="27" customWidth="1"/>
    <col min="22" max="33" width="9" style="27"/>
    <col min="34" max="34" width="10" style="27" customWidth="1"/>
    <col min="35" max="37" width="9" style="27"/>
    <col min="38" max="38" width="7.875" style="27" customWidth="1"/>
    <col min="39" max="39" width="11.25" style="27" customWidth="1"/>
    <col min="40" max="40" width="11.125" style="27" customWidth="1"/>
    <col min="41" max="41" width="11.25" style="27" customWidth="1"/>
    <col min="42" max="42" width="11.5" style="27" customWidth="1"/>
    <col min="43" max="43" width="11.375" style="27" customWidth="1"/>
    <col min="44" max="16384" width="9" style="27"/>
  </cols>
  <sheetData>
    <row r="1" spans="1:45" ht="13.5" customHeight="1">
      <c r="A1" s="476" t="s">
        <v>331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400" t="s">
        <v>256</v>
      </c>
      <c r="AP1" s="400"/>
      <c r="AQ1" s="400"/>
      <c r="AR1" s="400"/>
      <c r="AS1" s="400"/>
    </row>
    <row r="2" spans="1:45" ht="14.25" customHeight="1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401"/>
      <c r="AP2" s="401"/>
      <c r="AQ2" s="401"/>
      <c r="AR2" s="401"/>
      <c r="AS2" s="401"/>
    </row>
    <row r="3" spans="1:45" ht="18" customHeight="1">
      <c r="A3" s="348"/>
      <c r="B3" s="349"/>
      <c r="C3" s="248" t="s">
        <v>257</v>
      </c>
      <c r="D3" s="249" t="s">
        <v>258</v>
      </c>
      <c r="E3" s="244" t="s">
        <v>3</v>
      </c>
      <c r="F3" s="244"/>
      <c r="G3" s="244"/>
      <c r="H3" s="244"/>
      <c r="I3" s="244"/>
      <c r="J3" s="244"/>
      <c r="K3" s="245"/>
      <c r="L3" s="246" t="s">
        <v>4</v>
      </c>
      <c r="M3" s="244"/>
      <c r="N3" s="244"/>
      <c r="O3" s="244"/>
      <c r="P3" s="245"/>
      <c r="Q3" s="247" t="s">
        <v>5</v>
      </c>
      <c r="R3" s="248"/>
      <c r="S3" s="248"/>
      <c r="T3" s="248"/>
      <c r="U3" s="249"/>
      <c r="V3" s="244" t="s">
        <v>6</v>
      </c>
      <c r="W3" s="244"/>
      <c r="X3" s="244"/>
      <c r="Y3" s="244"/>
      <c r="Z3" s="244"/>
      <c r="AA3" s="245"/>
      <c r="AB3" s="246" t="s">
        <v>177</v>
      </c>
      <c r="AC3" s="244"/>
      <c r="AD3" s="244"/>
      <c r="AE3" s="244"/>
      <c r="AF3" s="245"/>
      <c r="AG3" s="246" t="s">
        <v>8</v>
      </c>
      <c r="AH3" s="244"/>
      <c r="AI3" s="244"/>
      <c r="AJ3" s="244"/>
      <c r="AK3" s="245"/>
      <c r="AL3" s="112" t="s">
        <v>9</v>
      </c>
      <c r="AM3" s="246" t="s">
        <v>10</v>
      </c>
      <c r="AN3" s="244"/>
      <c r="AO3" s="244"/>
      <c r="AP3" s="244"/>
      <c r="AQ3" s="244"/>
      <c r="AR3" s="244"/>
      <c r="AS3" s="245"/>
    </row>
    <row r="4" spans="1:45" ht="18" customHeight="1">
      <c r="A4" s="350"/>
      <c r="B4" s="351"/>
      <c r="C4" s="294"/>
      <c r="D4" s="295"/>
      <c r="E4" s="251" t="s">
        <v>259</v>
      </c>
      <c r="F4" s="301" t="s">
        <v>12</v>
      </c>
      <c r="G4" s="250" t="s">
        <v>13</v>
      </c>
      <c r="H4" s="251"/>
      <c r="I4" s="252" t="s">
        <v>14</v>
      </c>
      <c r="J4" s="253"/>
      <c r="K4" s="295" t="s">
        <v>260</v>
      </c>
      <c r="L4" s="251" t="s">
        <v>259</v>
      </c>
      <c r="M4" s="301" t="s">
        <v>16</v>
      </c>
      <c r="N4" s="301" t="s">
        <v>17</v>
      </c>
      <c r="O4" s="301" t="s">
        <v>18</v>
      </c>
      <c r="P4" s="295" t="s">
        <v>260</v>
      </c>
      <c r="Q4" s="251" t="s">
        <v>259</v>
      </c>
      <c r="R4" s="301" t="s">
        <v>19</v>
      </c>
      <c r="S4" s="301" t="s">
        <v>20</v>
      </c>
      <c r="T4" s="301" t="s">
        <v>21</v>
      </c>
      <c r="U4" s="296" t="s">
        <v>260</v>
      </c>
      <c r="V4" s="251" t="s">
        <v>11</v>
      </c>
      <c r="W4" s="301" t="s">
        <v>261</v>
      </c>
      <c r="X4" s="301" t="s">
        <v>23</v>
      </c>
      <c r="Y4" s="301" t="s">
        <v>24</v>
      </c>
      <c r="Z4" s="301" t="s">
        <v>15</v>
      </c>
      <c r="AA4" s="296" t="s">
        <v>25</v>
      </c>
      <c r="AB4" s="253" t="s">
        <v>11</v>
      </c>
      <c r="AC4" s="294" t="s">
        <v>26</v>
      </c>
      <c r="AD4" s="294" t="s">
        <v>20</v>
      </c>
      <c r="AE4" s="294" t="s">
        <v>21</v>
      </c>
      <c r="AF4" s="295" t="s">
        <v>15</v>
      </c>
      <c r="AG4" s="253" t="s">
        <v>259</v>
      </c>
      <c r="AH4" s="294" t="s">
        <v>27</v>
      </c>
      <c r="AI4" s="294" t="s">
        <v>28</v>
      </c>
      <c r="AJ4" s="294" t="s">
        <v>20</v>
      </c>
      <c r="AK4" s="295" t="s">
        <v>15</v>
      </c>
      <c r="AL4" s="337" t="s">
        <v>29</v>
      </c>
      <c r="AM4" s="341" t="s">
        <v>262</v>
      </c>
      <c r="AN4" s="294" t="s">
        <v>263</v>
      </c>
      <c r="AO4" s="294" t="s">
        <v>32</v>
      </c>
      <c r="AP4" s="294" t="s">
        <v>264</v>
      </c>
      <c r="AQ4" s="294" t="s">
        <v>265</v>
      </c>
      <c r="AR4" s="342" t="s">
        <v>35</v>
      </c>
      <c r="AS4" s="343" t="s">
        <v>36</v>
      </c>
    </row>
    <row r="5" spans="1:45" ht="18" customHeight="1">
      <c r="A5" s="352"/>
      <c r="B5" s="300"/>
      <c r="C5" s="294"/>
      <c r="D5" s="295"/>
      <c r="E5" s="300"/>
      <c r="F5" s="302"/>
      <c r="G5" s="28" t="s">
        <v>37</v>
      </c>
      <c r="H5" s="28" t="s">
        <v>38</v>
      </c>
      <c r="I5" s="28" t="s">
        <v>37</v>
      </c>
      <c r="J5" s="28" t="s">
        <v>38</v>
      </c>
      <c r="K5" s="295"/>
      <c r="L5" s="300"/>
      <c r="M5" s="302"/>
      <c r="N5" s="302"/>
      <c r="O5" s="302"/>
      <c r="P5" s="295"/>
      <c r="Q5" s="300"/>
      <c r="R5" s="302"/>
      <c r="S5" s="302"/>
      <c r="T5" s="302"/>
      <c r="U5" s="319"/>
      <c r="V5" s="300"/>
      <c r="W5" s="302"/>
      <c r="X5" s="302"/>
      <c r="Y5" s="302"/>
      <c r="Z5" s="302"/>
      <c r="AA5" s="319"/>
      <c r="AB5" s="253"/>
      <c r="AC5" s="294"/>
      <c r="AD5" s="294"/>
      <c r="AE5" s="294"/>
      <c r="AF5" s="295"/>
      <c r="AG5" s="253"/>
      <c r="AH5" s="294"/>
      <c r="AI5" s="294"/>
      <c r="AJ5" s="294"/>
      <c r="AK5" s="295"/>
      <c r="AL5" s="337"/>
      <c r="AM5" s="341"/>
      <c r="AN5" s="294"/>
      <c r="AO5" s="294"/>
      <c r="AP5" s="294"/>
      <c r="AQ5" s="294"/>
      <c r="AR5" s="342"/>
      <c r="AS5" s="343"/>
    </row>
    <row r="6" spans="1:45" ht="18" customHeight="1">
      <c r="A6" s="254" t="s">
        <v>39</v>
      </c>
      <c r="B6" s="255"/>
      <c r="C6" s="32">
        <f>D6+F6+M6+AH9+X6+AA6+AH6+AL6+C11+AC6+AH12</f>
        <v>667222.28</v>
      </c>
      <c r="D6" s="33">
        <f>上旬汇总!D6+中旬汇总!D6+下旬汇总!D6</f>
        <v>53664.92</v>
      </c>
      <c r="E6" s="34">
        <f>'4.1'!E6</f>
        <v>3577.58</v>
      </c>
      <c r="F6" s="35">
        <f>上旬汇总!F6+中旬汇总!F6+下旬汇总!F6</f>
        <v>236283.88</v>
      </c>
      <c r="G6" s="442">
        <f>上旬汇总!G6+中旬汇总!G6+下旬汇总!G6</f>
        <v>962.01</v>
      </c>
      <c r="H6" s="306">
        <f>H12+I12+J12</f>
        <v>84.35</v>
      </c>
      <c r="I6" s="442">
        <f>上旬汇总!I6+中旬汇总!I6+下旬汇总!I6</f>
        <v>383564.05</v>
      </c>
      <c r="J6" s="306">
        <f>H11+I11+J11</f>
        <v>33634.92</v>
      </c>
      <c r="K6" s="33">
        <f>下旬汇总!K6</f>
        <v>0</v>
      </c>
      <c r="L6" s="312"/>
      <c r="M6" s="50">
        <f>上旬汇总!M6+中旬汇总!M6+下旬汇总!M6</f>
        <v>27887.05</v>
      </c>
      <c r="N6" s="306">
        <f>M9-R6</f>
        <v>32451.32</v>
      </c>
      <c r="O6" s="313">
        <f>P11+P12+P13</f>
        <v>0</v>
      </c>
      <c r="P6" s="315"/>
      <c r="Q6" s="316"/>
      <c r="R6" s="306">
        <f>R11+S11+T11+U11</f>
        <v>16130.53</v>
      </c>
      <c r="S6" s="306">
        <f>R12+S12+T12+U12</f>
        <v>16279.08</v>
      </c>
      <c r="T6" s="306">
        <f>R13+S13+T13+U13</f>
        <v>52.81</v>
      </c>
      <c r="U6" s="320"/>
      <c r="V6" s="312"/>
      <c r="W6" s="77"/>
      <c r="X6" s="78">
        <f>上旬汇总!X6+中旬汇总!X6+下旬汇总!X6</f>
        <v>193456.56</v>
      </c>
      <c r="Y6" s="442">
        <f>上旬汇总!Y6+中旬汇总!Y6+下旬汇总!Y6</f>
        <v>-123.03</v>
      </c>
      <c r="Z6" s="327"/>
      <c r="AA6" s="97">
        <f>上旬汇总!AA6+中旬汇总!AA6+下旬汇总!AA6</f>
        <v>0</v>
      </c>
      <c r="AB6" s="331"/>
      <c r="AC6" s="98">
        <f>上旬汇总!AC6+中旬汇总!AC6+下旬汇总!AC6</f>
        <v>0</v>
      </c>
      <c r="AD6" s="442">
        <f>上旬汇总!AD6+中旬汇总!AD6+下旬汇总!AD6</f>
        <v>0</v>
      </c>
      <c r="AE6" s="442">
        <f>上旬汇总!AE6+中旬汇总!AE6+下旬汇总!AE6</f>
        <v>0</v>
      </c>
      <c r="AF6" s="334"/>
      <c r="AG6" s="113">
        <f>'4.1'!AG6</f>
        <v>0</v>
      </c>
      <c r="AH6" s="114">
        <f>上旬汇总!AH6+中旬汇总!AH6+下旬汇总!AH6</f>
        <v>0</v>
      </c>
      <c r="AI6" s="115">
        <f>上旬汇总!AI6+中旬汇总!AI6+下旬汇总!AI6</f>
        <v>0</v>
      </c>
      <c r="AJ6" s="115">
        <f>上旬汇总!AJ6+中旬汇总!AJ6+下旬汇总!AJ6</f>
        <v>0</v>
      </c>
      <c r="AK6" s="116">
        <f>AG6+AH6-AI6-AJ6+AH14-AI14</f>
        <v>0</v>
      </c>
      <c r="AL6" s="117">
        <f>上旬汇总!AL6+中旬汇总!AL6+下旬汇总!AL6</f>
        <v>0</v>
      </c>
      <c r="AM6" s="118">
        <f>AM8+AM10</f>
        <v>1181804.97</v>
      </c>
      <c r="AN6" s="119">
        <f>AN8+AN10</f>
        <v>567562.43999999994</v>
      </c>
      <c r="AO6" s="119">
        <f t="shared" ref="AO6:AP6" si="0">AO8+AO10</f>
        <v>0</v>
      </c>
      <c r="AP6" s="119">
        <f t="shared" si="0"/>
        <v>599905</v>
      </c>
      <c r="AQ6" s="147">
        <f>AM6+AN6+AO6-AP6</f>
        <v>1149462.4099999999</v>
      </c>
      <c r="AR6" s="138">
        <f>AR8+AR10</f>
        <v>0</v>
      </c>
      <c r="AS6" s="148">
        <f>ROUND(AR6-AQ6,2)</f>
        <v>-1149462.4099999999</v>
      </c>
    </row>
    <row r="7" spans="1:45" ht="18" customHeight="1">
      <c r="A7" s="256" t="s">
        <v>40</v>
      </c>
      <c r="B7" s="257"/>
      <c r="C7" s="38">
        <f>D7+F7+M7+AL7+AC7</f>
        <v>198425.55</v>
      </c>
      <c r="D7" s="39">
        <f>上旬汇总!D7+中旬汇总!D7+下旬汇总!D7</f>
        <v>0</v>
      </c>
      <c r="E7" s="34">
        <f>'4.1'!E7</f>
        <v>1599</v>
      </c>
      <c r="F7" s="40">
        <f>上旬汇总!F7+中旬汇总!F7+下旬汇总!F7</f>
        <v>179523.55</v>
      </c>
      <c r="G7" s="443">
        <f>上旬汇总!G7+中旬汇总!G7+下旬汇总!G7</f>
        <v>0</v>
      </c>
      <c r="H7" s="307"/>
      <c r="I7" s="443">
        <f>上旬汇总!I7+中旬汇总!I7+下旬汇总!I7</f>
        <v>0</v>
      </c>
      <c r="J7" s="307"/>
      <c r="K7" s="62">
        <f>下旬汇总!K7</f>
        <v>0</v>
      </c>
      <c r="L7" s="312"/>
      <c r="M7" s="63">
        <f>上旬汇总!M7+中旬汇总!M7+下旬汇总!M7</f>
        <v>18902</v>
      </c>
      <c r="N7" s="307"/>
      <c r="O7" s="314"/>
      <c r="P7" s="315"/>
      <c r="Q7" s="317"/>
      <c r="R7" s="307"/>
      <c r="S7" s="307"/>
      <c r="T7" s="307"/>
      <c r="U7" s="321"/>
      <c r="V7" s="312"/>
      <c r="W7" s="79">
        <f>C7</f>
        <v>198425.55</v>
      </c>
      <c r="X7" s="80"/>
      <c r="Y7" s="443">
        <f>上旬汇总!Y7+中旬汇总!Y7+下旬汇总!Y7</f>
        <v>0</v>
      </c>
      <c r="Z7" s="328"/>
      <c r="AA7" s="99"/>
      <c r="AB7" s="332"/>
      <c r="AC7" s="63">
        <f>上旬汇总!AC7+中旬汇总!AC7+下旬汇总!AC7</f>
        <v>0</v>
      </c>
      <c r="AD7" s="443">
        <f>上旬汇总!AD7+中旬汇总!AD7+下旬汇总!AD7</f>
        <v>0</v>
      </c>
      <c r="AE7" s="443">
        <f>上旬汇总!AE7+中旬汇总!AE7+下旬汇总!AE7</f>
        <v>0</v>
      </c>
      <c r="AF7" s="335"/>
      <c r="AG7" s="258" t="s">
        <v>41</v>
      </c>
      <c r="AH7" s="258"/>
      <c r="AI7" s="258"/>
      <c r="AJ7" s="258"/>
      <c r="AK7" s="259"/>
      <c r="AL7" s="120">
        <f>上旬汇总!AL7+中旬汇总!AL7+下旬汇总!AL7</f>
        <v>0</v>
      </c>
      <c r="AM7" s="55" t="s">
        <v>266</v>
      </c>
      <c r="AN7" s="30" t="s">
        <v>267</v>
      </c>
      <c r="AO7" s="30" t="s">
        <v>44</v>
      </c>
      <c r="AP7" s="30" t="s">
        <v>268</v>
      </c>
      <c r="AQ7" s="30" t="s">
        <v>269</v>
      </c>
      <c r="AR7" s="136" t="s">
        <v>47</v>
      </c>
      <c r="AS7" s="149" t="s">
        <v>48</v>
      </c>
    </row>
    <row r="8" spans="1:45" ht="18" customHeight="1">
      <c r="A8" s="260" t="s">
        <v>49</v>
      </c>
      <c r="B8" s="261"/>
      <c r="C8" s="32">
        <f>D8+F8+M8+X8+AA8+AL8+AC8</f>
        <v>2001.4</v>
      </c>
      <c r="D8" s="41">
        <f>上旬汇总!D8+中旬汇总!D8+下旬汇总!D8</f>
        <v>0</v>
      </c>
      <c r="E8" s="34">
        <f>'4.1'!E8</f>
        <v>0</v>
      </c>
      <c r="F8" s="42">
        <f>上旬汇总!F8+中旬汇总!F8+下旬汇总!F8</f>
        <v>208.6</v>
      </c>
      <c r="G8" s="444">
        <f>上旬汇总!G8+中旬汇总!G8+下旬汇总!G8</f>
        <v>0</v>
      </c>
      <c r="H8" s="308"/>
      <c r="I8" s="444">
        <f>上旬汇总!I8+中旬汇总!I8+下旬汇总!I8</f>
        <v>0</v>
      </c>
      <c r="J8" s="308"/>
      <c r="K8" s="41">
        <f>下旬汇总!K8</f>
        <v>0</v>
      </c>
      <c r="L8" s="312"/>
      <c r="M8" s="64">
        <f>上旬汇总!M8+中旬汇总!M8+下旬汇总!M8</f>
        <v>1792.8</v>
      </c>
      <c r="N8" s="308"/>
      <c r="O8" s="313"/>
      <c r="P8" s="315"/>
      <c r="Q8" s="318"/>
      <c r="R8" s="308"/>
      <c r="S8" s="308"/>
      <c r="T8" s="308"/>
      <c r="U8" s="322"/>
      <c r="V8" s="312"/>
      <c r="W8" s="81"/>
      <c r="X8" s="82">
        <f>上旬汇总!X8+中旬汇总!X8+下旬汇总!X8</f>
        <v>0</v>
      </c>
      <c r="Y8" s="444">
        <f>上旬汇总!Y8+中旬汇总!Y8+下旬汇总!Y8</f>
        <v>0</v>
      </c>
      <c r="Z8" s="329"/>
      <c r="AA8" s="100">
        <f>上旬汇总!AA8+中旬汇总!AA8+下旬汇总!AA8</f>
        <v>0</v>
      </c>
      <c r="AB8" s="333"/>
      <c r="AC8" s="101">
        <f>上旬汇总!AC8+中旬汇总!AC8+下旬汇总!AC8</f>
        <v>0</v>
      </c>
      <c r="AD8" s="444">
        <f>上旬汇总!AD8+中旬汇总!AD8+下旬汇总!AD8</f>
        <v>0</v>
      </c>
      <c r="AE8" s="444">
        <f>上旬汇总!AE8+中旬汇总!AE8+下旬汇总!AE8</f>
        <v>0</v>
      </c>
      <c r="AF8" s="336"/>
      <c r="AG8" s="85" t="s">
        <v>259</v>
      </c>
      <c r="AH8" s="49" t="s">
        <v>27</v>
      </c>
      <c r="AI8" s="49" t="s">
        <v>28</v>
      </c>
      <c r="AJ8" s="49" t="s">
        <v>20</v>
      </c>
      <c r="AK8" s="84" t="s">
        <v>15</v>
      </c>
      <c r="AL8" s="121">
        <f>上旬汇总!AL8+中旬汇总!AL8+下旬汇总!AL8</f>
        <v>0</v>
      </c>
      <c r="AM8" s="118">
        <f>'4.1'!AM8</f>
        <v>194683.04</v>
      </c>
      <c r="AN8" s="122">
        <f>I6+AJ6+AL9+P11+AJ12+AJ9+AD9</f>
        <v>517648.44</v>
      </c>
      <c r="AO8" s="150">
        <f>上旬汇总!AO8+中旬汇总!AO8+下旬汇总!AO8</f>
        <v>0</v>
      </c>
      <c r="AP8" s="150">
        <f>上旬汇总!AP8+中旬汇总!AP8+下旬汇总!AP8</f>
        <v>215015</v>
      </c>
      <c r="AQ8" s="151">
        <f>AM8+AN8+AO8-AP8</f>
        <v>497316.48</v>
      </c>
      <c r="AR8" s="152">
        <f>下旬汇总!AR8</f>
        <v>0</v>
      </c>
      <c r="AS8" s="148">
        <f>ROUND(AR8-AQ8,2)</f>
        <v>-497316.48</v>
      </c>
    </row>
    <row r="9" spans="1:45" ht="18" customHeight="1">
      <c r="A9" s="250" t="s">
        <v>50</v>
      </c>
      <c r="B9" s="262"/>
      <c r="C9" s="32">
        <f>C6+C7+C8</f>
        <v>867649.23</v>
      </c>
      <c r="D9" s="44">
        <f t="shared" ref="D9:F9" si="1">D6+D7+D8</f>
        <v>53664.92</v>
      </c>
      <c r="E9" s="45">
        <f>'4.1'!E9</f>
        <v>5176.5800000000499</v>
      </c>
      <c r="F9" s="32">
        <f t="shared" si="1"/>
        <v>416016.03</v>
      </c>
      <c r="G9" s="32">
        <f>G6</f>
        <v>962.01</v>
      </c>
      <c r="H9" s="32">
        <f>H6</f>
        <v>84.35</v>
      </c>
      <c r="I9" s="32">
        <f>I6</f>
        <v>383564.05</v>
      </c>
      <c r="J9" s="32">
        <f>J6</f>
        <v>33634.92</v>
      </c>
      <c r="K9" s="65">
        <f>E9+F9-G9-H9-I9-J9</f>
        <v>2947.2800000000698</v>
      </c>
      <c r="L9" s="66">
        <f>'4.1'!L9</f>
        <v>31767.630000000099</v>
      </c>
      <c r="M9" s="32">
        <f>M6+M7+M8</f>
        <v>48581.85</v>
      </c>
      <c r="N9" s="32">
        <f>N6</f>
        <v>32451.32</v>
      </c>
      <c r="O9" s="32">
        <f>O6</f>
        <v>0</v>
      </c>
      <c r="P9" s="65">
        <f>L9+N9-O9+L11-L13</f>
        <v>51567.370000000097</v>
      </c>
      <c r="Q9" s="34">
        <f>'4.1'!Q9</f>
        <v>220.359999999998</v>
      </c>
      <c r="R9" s="32">
        <f>R6</f>
        <v>16130.53</v>
      </c>
      <c r="S9" s="32">
        <f>S6</f>
        <v>16279.08</v>
      </c>
      <c r="T9" s="32">
        <f>T6</f>
        <v>52.81</v>
      </c>
      <c r="U9" s="65">
        <f>Q9+R9-S9-T9</f>
        <v>18.999999999997701</v>
      </c>
      <c r="V9" s="66">
        <f>'4.1'!V9</f>
        <v>727390.9</v>
      </c>
      <c r="W9" s="32">
        <f>W7</f>
        <v>198425.55</v>
      </c>
      <c r="X9" s="32">
        <f>X6+X8</f>
        <v>193456.56</v>
      </c>
      <c r="Y9" s="32">
        <f>Y6</f>
        <v>-123.03</v>
      </c>
      <c r="Z9" s="102">
        <f>V9+W9-X9-Y9-AA9</f>
        <v>732482.92</v>
      </c>
      <c r="AA9" s="103">
        <f>AA6+AA8</f>
        <v>0</v>
      </c>
      <c r="AB9" s="104">
        <f>'4.1'!AB9</f>
        <v>0</v>
      </c>
      <c r="AC9" s="105">
        <f>AC6+AC7+AC8</f>
        <v>0</v>
      </c>
      <c r="AD9" s="105">
        <f>AD6</f>
        <v>0</v>
      </c>
      <c r="AE9" s="105">
        <f>AE6</f>
        <v>0</v>
      </c>
      <c r="AF9" s="106">
        <f>AB9+AC9-AD9-AE9</f>
        <v>0</v>
      </c>
      <c r="AG9" s="123">
        <f>'4.1'!AG9</f>
        <v>-1.13686837721616E-13</v>
      </c>
      <c r="AH9" s="124">
        <f>上旬汇总!AH9+中旬汇总!AH9+下旬汇总!AH9</f>
        <v>6639.86</v>
      </c>
      <c r="AI9" s="124">
        <f>上旬汇总!AI9+中旬汇总!AI9+下旬汇总!AI9</f>
        <v>430</v>
      </c>
      <c r="AJ9" s="124">
        <f>上旬汇总!AJ9+中旬汇总!AJ9+下旬汇总!AJ9</f>
        <v>6394.69</v>
      </c>
      <c r="AK9" s="125">
        <f>AG9+AH9-AI9-AJ9+AK14-AL14</f>
        <v>9.0949470177292804E-13</v>
      </c>
      <c r="AL9" s="126">
        <f>AL6+AL7+AL8</f>
        <v>0</v>
      </c>
      <c r="AM9" s="127" t="s">
        <v>270</v>
      </c>
      <c r="AN9" s="128" t="s">
        <v>271</v>
      </c>
      <c r="AO9" s="128" t="s">
        <v>53</v>
      </c>
      <c r="AP9" s="128" t="s">
        <v>272</v>
      </c>
      <c r="AQ9" s="153" t="s">
        <v>273</v>
      </c>
      <c r="AR9" s="136" t="s">
        <v>56</v>
      </c>
      <c r="AS9" s="149" t="s">
        <v>57</v>
      </c>
    </row>
    <row r="10" spans="1:45" ht="18" customHeight="1">
      <c r="A10" s="252" t="s">
        <v>58</v>
      </c>
      <c r="B10" s="253"/>
      <c r="C10" s="47" t="s">
        <v>59</v>
      </c>
      <c r="D10" s="296"/>
      <c r="E10" s="356"/>
      <c r="F10" s="357"/>
      <c r="G10" s="49" t="s">
        <v>60</v>
      </c>
      <c r="H10" s="49" t="s">
        <v>61</v>
      </c>
      <c r="I10" s="49" t="s">
        <v>62</v>
      </c>
      <c r="J10" s="49" t="s">
        <v>63</v>
      </c>
      <c r="K10" s="67" t="s">
        <v>64</v>
      </c>
      <c r="L10" s="49" t="s">
        <v>65</v>
      </c>
      <c r="M10" s="267" t="s">
        <v>66</v>
      </c>
      <c r="N10" s="267" t="s">
        <v>67</v>
      </c>
      <c r="O10" s="68" t="s">
        <v>68</v>
      </c>
      <c r="P10" s="69" t="s">
        <v>69</v>
      </c>
      <c r="Q10" s="83" t="s">
        <v>70</v>
      </c>
      <c r="R10" s="49" t="s">
        <v>61</v>
      </c>
      <c r="S10" s="49" t="s">
        <v>62</v>
      </c>
      <c r="T10" s="49" t="s">
        <v>63</v>
      </c>
      <c r="U10" s="84" t="s">
        <v>71</v>
      </c>
      <c r="V10" s="378"/>
      <c r="W10" s="251"/>
      <c r="X10" s="294" t="s">
        <v>72</v>
      </c>
      <c r="Y10" s="294" t="s">
        <v>73</v>
      </c>
      <c r="Z10" s="301"/>
      <c r="AA10" s="29" t="s">
        <v>74</v>
      </c>
      <c r="AB10" s="368"/>
      <c r="AC10" s="248"/>
      <c r="AD10" s="248"/>
      <c r="AE10" s="248"/>
      <c r="AF10" s="249"/>
      <c r="AG10" s="263" t="s">
        <v>75</v>
      </c>
      <c r="AH10" s="264"/>
      <c r="AI10" s="264"/>
      <c r="AJ10" s="264"/>
      <c r="AK10" s="265"/>
      <c r="AL10" s="338"/>
      <c r="AM10" s="129">
        <f t="shared" ref="AM10:AR10" si="2">AM12+AM14+AM16+AM18+AM20+AM22+AM24+AM26</f>
        <v>987121.93</v>
      </c>
      <c r="AN10" s="130">
        <f t="shared" si="2"/>
        <v>49914</v>
      </c>
      <c r="AO10" s="43">
        <f t="shared" si="2"/>
        <v>0</v>
      </c>
      <c r="AP10" s="43">
        <f t="shared" si="2"/>
        <v>384890</v>
      </c>
      <c r="AQ10" s="53">
        <f t="shared" si="2"/>
        <v>652145.93000000005</v>
      </c>
      <c r="AR10" s="154">
        <f t="shared" si="2"/>
        <v>0</v>
      </c>
      <c r="AS10" s="155">
        <f>ROUND(AR10-AQ10,2)</f>
        <v>-652145.93000000005</v>
      </c>
    </row>
    <row r="11" spans="1:45" ht="18" customHeight="1">
      <c r="A11" s="439">
        <f>上旬汇总!A11+中旬汇总!A11+下旬汇总!A11</f>
        <v>668521.16</v>
      </c>
      <c r="B11" s="439">
        <f>上旬汇总!B11+中旬汇总!B11+下旬汇总!B11</f>
        <v>0</v>
      </c>
      <c r="C11" s="51">
        <f>上旬汇总!C11+中旬汇总!C11+下旬汇总!C11</f>
        <v>0</v>
      </c>
      <c r="D11" s="297"/>
      <c r="E11" s="264"/>
      <c r="F11" s="358"/>
      <c r="G11" s="49" t="s">
        <v>76</v>
      </c>
      <c r="H11" s="52">
        <f>上旬汇总!H11+中旬汇总!H11+下旬汇总!H11</f>
        <v>33634.92</v>
      </c>
      <c r="I11" s="70">
        <f>上旬汇总!I11+中旬汇总!I11+下旬汇总!I11</f>
        <v>0</v>
      </c>
      <c r="J11" s="71">
        <f>上旬汇总!J11+中旬汇总!J11+下旬汇总!J11</f>
        <v>0</v>
      </c>
      <c r="K11" s="72">
        <f>ROUND(K6+K7+K8-K9,2)</f>
        <v>-2947.28</v>
      </c>
      <c r="L11" s="50">
        <f>上旬汇总!L11+中旬汇总!L11+下旬汇总!L11</f>
        <v>984</v>
      </c>
      <c r="M11" s="267"/>
      <c r="N11" s="267"/>
      <c r="O11" s="49" t="s">
        <v>37</v>
      </c>
      <c r="P11" s="73">
        <f>上旬汇总!P11+中旬汇总!P11+下旬汇总!P11</f>
        <v>0</v>
      </c>
      <c r="Q11" s="85" t="s">
        <v>77</v>
      </c>
      <c r="R11" s="86">
        <f>上旬汇总!R11+中旬汇总!R11+下旬汇总!R11</f>
        <v>0</v>
      </c>
      <c r="S11" s="87">
        <f>上旬汇总!S11+中旬汇总!S11+下旬汇总!S11</f>
        <v>16130.53</v>
      </c>
      <c r="T11" s="88">
        <f>上旬汇总!T11+中旬汇总!T11+下旬汇总!T11</f>
        <v>0</v>
      </c>
      <c r="U11" s="89">
        <f>上旬汇总!U11+中旬汇总!U11+下旬汇总!U11</f>
        <v>0</v>
      </c>
      <c r="V11" s="350"/>
      <c r="W11" s="351"/>
      <c r="X11" s="294"/>
      <c r="Y11" s="294"/>
      <c r="Z11" s="330"/>
      <c r="AA11" s="73">
        <f>下旬汇总!AA11</f>
        <v>0</v>
      </c>
      <c r="AB11" s="341"/>
      <c r="AC11" s="294"/>
      <c r="AD11" s="294"/>
      <c r="AE11" s="294"/>
      <c r="AF11" s="295"/>
      <c r="AG11" s="90" t="s">
        <v>11</v>
      </c>
      <c r="AH11" s="49" t="s">
        <v>27</v>
      </c>
      <c r="AI11" s="49" t="s">
        <v>28</v>
      </c>
      <c r="AJ11" s="49" t="s">
        <v>20</v>
      </c>
      <c r="AK11" s="84" t="s">
        <v>15</v>
      </c>
      <c r="AL11" s="339"/>
      <c r="AM11" s="90" t="s">
        <v>78</v>
      </c>
      <c r="AN11" s="131" t="s">
        <v>79</v>
      </c>
      <c r="AO11" s="131" t="s">
        <v>80</v>
      </c>
      <c r="AP11" s="131" t="s">
        <v>81</v>
      </c>
      <c r="AQ11" s="131" t="s">
        <v>82</v>
      </c>
      <c r="AR11" s="68" t="s">
        <v>83</v>
      </c>
      <c r="AS11" s="69" t="s">
        <v>84</v>
      </c>
    </row>
    <row r="12" spans="1:45" ht="18" customHeight="1">
      <c r="A12" s="262" t="s">
        <v>85</v>
      </c>
      <c r="B12" s="262"/>
      <c r="C12" s="28" t="s">
        <v>86</v>
      </c>
      <c r="D12" s="298"/>
      <c r="E12" s="264"/>
      <c r="F12" s="358"/>
      <c r="G12" s="49" t="s">
        <v>21</v>
      </c>
      <c r="H12" s="52">
        <f>上旬汇总!H12+中旬汇总!H12+下旬汇总!H12</f>
        <v>84.35</v>
      </c>
      <c r="I12" s="70">
        <f>上旬汇总!I12+中旬汇总!I12+下旬汇总!I12</f>
        <v>0</v>
      </c>
      <c r="J12" s="71">
        <f>上旬汇总!J12+中旬汇总!J12+下旬汇总!J12</f>
        <v>0</v>
      </c>
      <c r="K12" s="309"/>
      <c r="L12" s="49" t="s">
        <v>87</v>
      </c>
      <c r="M12" s="267"/>
      <c r="N12" s="267"/>
      <c r="O12" s="49" t="s">
        <v>61</v>
      </c>
      <c r="P12" s="74">
        <f>上旬汇总!P12+中旬汇总!P12+下旬汇总!P12</f>
        <v>0</v>
      </c>
      <c r="Q12" s="90" t="s">
        <v>20</v>
      </c>
      <c r="R12" s="86">
        <f>上旬汇总!R12+中旬汇总!R12+下旬汇总!R12</f>
        <v>0</v>
      </c>
      <c r="S12" s="87">
        <f>上旬汇总!S12+中旬汇总!S12+下旬汇总!S12</f>
        <v>16279.08</v>
      </c>
      <c r="T12" s="88">
        <f>上旬汇总!T12+中旬汇总!T12+下旬汇总!T12</f>
        <v>0</v>
      </c>
      <c r="U12" s="89">
        <f>上旬汇总!U12+中旬汇总!U12+下旬汇总!U12</f>
        <v>0</v>
      </c>
      <c r="V12" s="350"/>
      <c r="W12" s="351"/>
      <c r="X12" s="294"/>
      <c r="Y12" s="294"/>
      <c r="Z12" s="330"/>
      <c r="AA12" s="29" t="s">
        <v>36</v>
      </c>
      <c r="AB12" s="341"/>
      <c r="AC12" s="294"/>
      <c r="AD12" s="294"/>
      <c r="AE12" s="294"/>
      <c r="AF12" s="295"/>
      <c r="AG12" s="123">
        <f>'4.1'!AG12</f>
        <v>287.2</v>
      </c>
      <c r="AH12" s="114">
        <f>上旬汇总!AH12+中旬汇总!AH12+下旬汇总!AH12</f>
        <v>149290.01</v>
      </c>
      <c r="AI12" s="132">
        <f>AG12+AH12-AJ12-AK12</f>
        <v>21887.51</v>
      </c>
      <c r="AJ12" s="114">
        <f>上旬汇总!AJ12+中旬汇总!AJ12+下旬汇总!AJ12</f>
        <v>127689.7</v>
      </c>
      <c r="AK12" s="133">
        <f>下旬汇总!AK12</f>
        <v>0</v>
      </c>
      <c r="AL12" s="340"/>
      <c r="AM12" s="134">
        <f>'4.1'!AM12</f>
        <v>893299.07</v>
      </c>
      <c r="AN12" s="38">
        <f>H11+P12+R12</f>
        <v>33634.92</v>
      </c>
      <c r="AO12" s="52">
        <f>上旬汇总!AO12+中旬汇总!AO12+下旬汇总!AO12</f>
        <v>0</v>
      </c>
      <c r="AP12" s="52">
        <f>上旬汇总!AP12+中旬汇总!AP12+下旬汇总!AP12</f>
        <v>376920</v>
      </c>
      <c r="AQ12" s="32">
        <f>AM12+AN12+AO12-AP12</f>
        <v>550013.99</v>
      </c>
      <c r="AR12" s="52">
        <f>下旬汇总!AR12</f>
        <v>0</v>
      </c>
      <c r="AS12" s="155">
        <f>ROUND(AR12-AQ12,2)</f>
        <v>-550013.99</v>
      </c>
    </row>
    <row r="13" spans="1:45" ht="27" customHeight="1">
      <c r="A13" s="361"/>
      <c r="B13" s="361"/>
      <c r="C13" s="53">
        <f>ROUND(C6-A11,2)</f>
        <v>-1298.8800000000001</v>
      </c>
      <c r="D13" s="298"/>
      <c r="E13" s="264"/>
      <c r="F13" s="358"/>
      <c r="G13" s="267" t="s">
        <v>88</v>
      </c>
      <c r="H13" s="267"/>
      <c r="I13" s="267"/>
      <c r="J13" s="267"/>
      <c r="K13" s="310"/>
      <c r="L13" s="50">
        <f>上旬汇总!L13+中旬汇总!L13+下旬汇总!L13</f>
        <v>13635.58</v>
      </c>
      <c r="M13" s="267"/>
      <c r="N13" s="267"/>
      <c r="O13" s="49" t="s">
        <v>62</v>
      </c>
      <c r="P13" s="75">
        <f>上旬汇总!P13+中旬汇总!P13+下旬汇总!P13</f>
        <v>0</v>
      </c>
      <c r="Q13" s="90" t="s">
        <v>21</v>
      </c>
      <c r="R13" s="86">
        <f>上旬汇总!R13+中旬汇总!R13+下旬汇总!R13</f>
        <v>0</v>
      </c>
      <c r="S13" s="87">
        <f>上旬汇总!S13+中旬汇总!S13+下旬汇总!S13</f>
        <v>52.81</v>
      </c>
      <c r="T13" s="88">
        <f>上旬汇总!T13+中旬汇总!T13+下旬汇总!T13</f>
        <v>0</v>
      </c>
      <c r="U13" s="89">
        <f>上旬汇总!U13+中旬汇总!U13+下旬汇总!U13</f>
        <v>0</v>
      </c>
      <c r="V13" s="271"/>
      <c r="W13" s="379"/>
      <c r="X13" s="294"/>
      <c r="Y13" s="294"/>
      <c r="Z13" s="302"/>
      <c r="AA13" s="108">
        <f>ROUND(Z9-AA11,2)</f>
        <v>732482.92</v>
      </c>
      <c r="AB13" s="341"/>
      <c r="AC13" s="294"/>
      <c r="AD13" s="294"/>
      <c r="AE13" s="294"/>
      <c r="AF13" s="252"/>
      <c r="AG13" s="135" t="s">
        <v>89</v>
      </c>
      <c r="AH13" s="136" t="s">
        <v>90</v>
      </c>
      <c r="AI13" s="136" t="s">
        <v>91</v>
      </c>
      <c r="AJ13" s="136" t="s">
        <v>92</v>
      </c>
      <c r="AK13" s="136" t="s">
        <v>93</v>
      </c>
      <c r="AL13" s="137" t="s">
        <v>94</v>
      </c>
      <c r="AM13" s="85" t="s">
        <v>274</v>
      </c>
      <c r="AN13" s="131" t="s">
        <v>96</v>
      </c>
      <c r="AO13" s="131" t="s">
        <v>97</v>
      </c>
      <c r="AP13" s="131" t="s">
        <v>275</v>
      </c>
      <c r="AQ13" s="131" t="s">
        <v>276</v>
      </c>
      <c r="AR13" s="68" t="s">
        <v>100</v>
      </c>
      <c r="AS13" s="69" t="s">
        <v>101</v>
      </c>
    </row>
    <row r="14" spans="1:45" ht="27" customHeight="1">
      <c r="A14" s="272"/>
      <c r="B14" s="379"/>
      <c r="C14" s="54"/>
      <c r="D14" s="299"/>
      <c r="E14" s="269"/>
      <c r="F14" s="270"/>
      <c r="G14" s="268"/>
      <c r="H14" s="269"/>
      <c r="I14" s="269"/>
      <c r="J14" s="270"/>
      <c r="K14" s="311"/>
      <c r="L14" s="269"/>
      <c r="M14" s="269"/>
      <c r="N14" s="269"/>
      <c r="O14" s="269"/>
      <c r="P14" s="269"/>
      <c r="Q14" s="91" t="s">
        <v>103</v>
      </c>
      <c r="R14" s="92">
        <f>下旬汇总!R14</f>
        <v>0</v>
      </c>
      <c r="S14" s="92">
        <f>下旬汇总!S14</f>
        <v>0</v>
      </c>
      <c r="T14" s="92">
        <f>下旬汇总!T14</f>
        <v>0</v>
      </c>
      <c r="U14" s="92">
        <f>下旬汇总!U14</f>
        <v>0</v>
      </c>
      <c r="V14" s="93" t="s">
        <v>64</v>
      </c>
      <c r="W14" s="94">
        <f>ROUND(U9-R14-S14-T14-U14,2)</f>
        <v>19</v>
      </c>
      <c r="X14" s="271"/>
      <c r="Y14" s="272"/>
      <c r="Z14" s="272"/>
      <c r="AA14" s="273"/>
      <c r="AB14" s="369"/>
      <c r="AC14" s="370"/>
      <c r="AD14" s="370"/>
      <c r="AE14" s="370"/>
      <c r="AF14" s="280"/>
      <c r="AG14" s="114">
        <f>上旬汇总!AG14+中旬汇总!AG14+下旬汇总!AG14</f>
        <v>0</v>
      </c>
      <c r="AH14" s="138">
        <f>IF(AG14-AH6&gt;0,AG14-AH6,IF(AG14-AH6&lt;=0,0))</f>
        <v>0</v>
      </c>
      <c r="AI14" s="138">
        <f>IF(AH6-AG14&gt;0,AH6-AG14,IF(AH6-AG14&lt;=0,0))</f>
        <v>0</v>
      </c>
      <c r="AJ14" s="114">
        <f>上旬汇总!AJ14+中旬汇总!AJ14+下旬汇总!AJ14</f>
        <v>6824.69</v>
      </c>
      <c r="AK14" s="138">
        <f>IF(AJ14-AH9&gt;0,AJ14-AH9,IF(AJ14-AH9&lt;=0,0))</f>
        <v>184.83000000000101</v>
      </c>
      <c r="AL14" s="139" t="b">
        <f>IF(AH9-AJ14&gt;0,AH9-AJ14,IF(AJ14-AH9&lt;=0,0))</f>
        <v>0</v>
      </c>
      <c r="AM14" s="66">
        <f>'4.1'!AM14</f>
        <v>93822.86</v>
      </c>
      <c r="AN14" s="38">
        <f>I11+P13+S12</f>
        <v>16279.08</v>
      </c>
      <c r="AO14" s="86">
        <f>上旬汇总!AO14+中旬汇总!AO14+下旬汇总!AO14</f>
        <v>0</v>
      </c>
      <c r="AP14" s="86">
        <f>上旬汇总!AP14+中旬汇总!AP14+下旬汇总!AP14</f>
        <v>7970</v>
      </c>
      <c r="AQ14" s="32">
        <f>AM14+AN14+AO14-AP14</f>
        <v>102131.94</v>
      </c>
      <c r="AR14" s="86">
        <f>下旬汇总!AR14</f>
        <v>0</v>
      </c>
      <c r="AS14" s="155">
        <f>ROUND(AR14-AQ14,2)</f>
        <v>-102131.94</v>
      </c>
    </row>
    <row r="15" spans="1:45" ht="18" customHeight="1">
      <c r="A15" s="371" t="s">
        <v>197</v>
      </c>
      <c r="B15" s="372"/>
      <c r="C15" s="372"/>
      <c r="D15" s="373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  <c r="W15" s="373"/>
      <c r="X15" s="372"/>
      <c r="Y15" s="372"/>
      <c r="Z15" s="372"/>
      <c r="AA15" s="372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140" t="s">
        <v>277</v>
      </c>
      <c r="AN15" s="141" t="s">
        <v>278</v>
      </c>
      <c r="AO15" s="141" t="s">
        <v>107</v>
      </c>
      <c r="AP15" s="141" t="s">
        <v>279</v>
      </c>
      <c r="AQ15" s="28" t="s">
        <v>280</v>
      </c>
      <c r="AR15" s="68" t="s">
        <v>110</v>
      </c>
      <c r="AS15" s="69" t="s">
        <v>111</v>
      </c>
    </row>
    <row r="16" spans="1:45" ht="18" customHeight="1">
      <c r="A16" s="375"/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7"/>
      <c r="AM16" s="142">
        <f>'4.1'!AM16</f>
        <v>0</v>
      </c>
      <c r="AN16" s="53">
        <f>J11+T12</f>
        <v>0</v>
      </c>
      <c r="AO16" s="87">
        <f>上旬汇总!AO16+中旬汇总!AO16+下旬汇总!AO16</f>
        <v>0</v>
      </c>
      <c r="AP16" s="87">
        <f>上旬汇总!AP16+中旬汇总!AP16+下旬汇总!AP16</f>
        <v>0</v>
      </c>
      <c r="AQ16" s="53">
        <f>AM16+AN16+AO16-AP16</f>
        <v>0</v>
      </c>
      <c r="AR16" s="87">
        <f>下旬汇总!AR16</f>
        <v>0</v>
      </c>
      <c r="AS16" s="155">
        <f>ROUND(AR16-AQ16,2)</f>
        <v>0</v>
      </c>
    </row>
    <row r="17" spans="1:45" ht="18" customHeight="1">
      <c r="A17" s="283" t="s">
        <v>112</v>
      </c>
      <c r="B17" s="274" t="s">
        <v>113</v>
      </c>
      <c r="C17" s="274" t="s">
        <v>114</v>
      </c>
      <c r="D17" s="274"/>
      <c r="E17" s="274" t="s">
        <v>115</v>
      </c>
      <c r="F17" s="274"/>
      <c r="G17" s="274" t="s">
        <v>116</v>
      </c>
      <c r="H17" s="274"/>
      <c r="I17" s="274"/>
      <c r="J17" s="274"/>
      <c r="K17" s="274"/>
      <c r="L17" s="274"/>
      <c r="M17" s="274"/>
      <c r="N17" s="274"/>
      <c r="O17" s="274"/>
      <c r="P17" s="274"/>
      <c r="Q17" s="354" t="s">
        <v>117</v>
      </c>
      <c r="R17" s="355"/>
      <c r="S17" s="354" t="s">
        <v>118</v>
      </c>
      <c r="T17" s="355"/>
      <c r="U17" s="274" t="s">
        <v>119</v>
      </c>
      <c r="V17" s="274" t="s">
        <v>120</v>
      </c>
      <c r="W17" s="274" t="s">
        <v>281</v>
      </c>
      <c r="X17" s="292" t="s">
        <v>85</v>
      </c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143" t="s">
        <v>282</v>
      </c>
      <c r="AN17" s="144" t="s">
        <v>283</v>
      </c>
      <c r="AO17" s="144" t="s">
        <v>124</v>
      </c>
      <c r="AP17" s="144" t="s">
        <v>284</v>
      </c>
      <c r="AQ17" s="56" t="s">
        <v>285</v>
      </c>
      <c r="AR17" s="68" t="s">
        <v>127</v>
      </c>
      <c r="AS17" s="69" t="s">
        <v>128</v>
      </c>
    </row>
    <row r="18" spans="1:45" ht="27" customHeight="1">
      <c r="A18" s="284"/>
      <c r="B18" s="290"/>
      <c r="C18" s="353"/>
      <c r="D18" s="353"/>
      <c r="E18" s="353"/>
      <c r="F18" s="353"/>
      <c r="G18" s="56" t="s">
        <v>129</v>
      </c>
      <c r="H18" s="57" t="s">
        <v>130</v>
      </c>
      <c r="I18" s="56" t="s">
        <v>131</v>
      </c>
      <c r="J18" s="56" t="s">
        <v>132</v>
      </c>
      <c r="K18" s="56" t="s">
        <v>133</v>
      </c>
      <c r="L18" s="56" t="s">
        <v>134</v>
      </c>
      <c r="M18" s="275" t="s">
        <v>135</v>
      </c>
      <c r="N18" s="276"/>
      <c r="O18" s="275" t="s">
        <v>136</v>
      </c>
      <c r="P18" s="276"/>
      <c r="Q18" s="293"/>
      <c r="R18" s="289"/>
      <c r="S18" s="293"/>
      <c r="T18" s="289"/>
      <c r="U18" s="290"/>
      <c r="V18" s="290"/>
      <c r="W18" s="290"/>
      <c r="X18" s="293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3"/>
      <c r="AM18" s="142">
        <f>'4.1'!AM18</f>
        <v>0</v>
      </c>
      <c r="AN18" s="53">
        <f>U12</f>
        <v>0</v>
      </c>
      <c r="AO18" s="88">
        <f>上旬汇总!AO18+中旬汇总!AO18+下旬汇总!AO18</f>
        <v>0</v>
      </c>
      <c r="AP18" s="88">
        <f>上旬汇总!AP18+中旬汇总!AP18+下旬汇总!AP18</f>
        <v>0</v>
      </c>
      <c r="AQ18" s="53">
        <f>AM18+AN18+AO18-AP18</f>
        <v>0</v>
      </c>
      <c r="AR18" s="88">
        <f>下旬汇总!AR18</f>
        <v>0</v>
      </c>
      <c r="AS18" s="155">
        <f>ROUND(AR18-AQ18,2)</f>
        <v>0</v>
      </c>
    </row>
    <row r="19" spans="1:45" ht="18" customHeight="1">
      <c r="A19" s="285" t="s">
        <v>137</v>
      </c>
      <c r="B19" s="291" t="s">
        <v>138</v>
      </c>
      <c r="C19" s="277">
        <f>'4.1'!C19</f>
        <v>11585.8</v>
      </c>
      <c r="D19" s="277"/>
      <c r="E19" s="313">
        <f>上旬汇总!E19+中旬汇总!E19+下旬汇总!E19</f>
        <v>92050</v>
      </c>
      <c r="F19" s="313">
        <f>上旬汇总!F19+中旬汇总!F19+下旬汇总!F19</f>
        <v>0</v>
      </c>
      <c r="G19" s="46" t="s">
        <v>139</v>
      </c>
      <c r="H19" s="58">
        <f>'4.1'!H19</f>
        <v>146912.10999999999</v>
      </c>
      <c r="I19" s="76"/>
      <c r="J19" s="49"/>
      <c r="K19" s="32">
        <f>下旬汇总!K19</f>
        <v>0</v>
      </c>
      <c r="L19" s="32">
        <f>上旬汇总!L19+中旬汇总!L19+下旬汇总!L19</f>
        <v>0</v>
      </c>
      <c r="M19" s="277">
        <f>上旬汇总!M19+中旬汇总!M19+下旬汇总!M19</f>
        <v>-146912.10999999999</v>
      </c>
      <c r="N19" s="277">
        <f>上旬汇总!N19+中旬汇总!N19+下旬汇总!N19</f>
        <v>0</v>
      </c>
      <c r="O19" s="362">
        <f>M19+M20+M21+M22</f>
        <v>-675424.87</v>
      </c>
      <c r="P19" s="363"/>
      <c r="Q19" s="362">
        <f>C19+E19-O19</f>
        <v>779060.67</v>
      </c>
      <c r="R19" s="363"/>
      <c r="S19" s="445">
        <f>下旬汇总!S19</f>
        <v>0</v>
      </c>
      <c r="T19" s="446">
        <f>下旬汇总!T19</f>
        <v>0</v>
      </c>
      <c r="U19" s="323">
        <f>S19-Q19</f>
        <v>-779060.67</v>
      </c>
      <c r="V19" s="323">
        <f>'4.30'!U19-'4.1'!U19</f>
        <v>-778267.39</v>
      </c>
      <c r="W19" s="306">
        <f>下旬汇总!W19</f>
        <v>0</v>
      </c>
      <c r="X19" s="250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359"/>
      <c r="AM19" s="107" t="s">
        <v>286</v>
      </c>
      <c r="AN19" s="141" t="s">
        <v>287</v>
      </c>
      <c r="AO19" s="28" t="s">
        <v>142</v>
      </c>
      <c r="AP19" s="28" t="s">
        <v>288</v>
      </c>
      <c r="AQ19" s="28" t="s">
        <v>289</v>
      </c>
      <c r="AR19" s="68" t="s">
        <v>145</v>
      </c>
      <c r="AS19" s="69" t="s">
        <v>146</v>
      </c>
    </row>
    <row r="20" spans="1:45" ht="18" customHeight="1">
      <c r="A20" s="286"/>
      <c r="B20" s="292"/>
      <c r="C20" s="277"/>
      <c r="D20" s="277"/>
      <c r="E20" s="313">
        <f>上旬汇总!E20+中旬汇总!E20+下旬汇总!E20</f>
        <v>0</v>
      </c>
      <c r="F20" s="313">
        <f>上旬汇总!F20+中旬汇总!F20+下旬汇总!F20</f>
        <v>0</v>
      </c>
      <c r="G20" s="46" t="s">
        <v>147</v>
      </c>
      <c r="H20" s="58">
        <f>'4.1'!H20</f>
        <v>221277.27</v>
      </c>
      <c r="I20" s="76"/>
      <c r="J20" s="49"/>
      <c r="K20" s="32">
        <f>下旬汇总!K20</f>
        <v>0</v>
      </c>
      <c r="L20" s="32">
        <f>上旬汇总!L20+中旬汇总!L20+下旬汇总!L20</f>
        <v>0</v>
      </c>
      <c r="M20" s="277">
        <f>上旬汇总!M20+中旬汇总!M20+下旬汇总!M20</f>
        <v>-221277.27</v>
      </c>
      <c r="N20" s="277">
        <f>上旬汇总!N20+中旬汇总!N20+下旬汇总!N20</f>
        <v>0</v>
      </c>
      <c r="O20" s="364"/>
      <c r="P20" s="365"/>
      <c r="Q20" s="364"/>
      <c r="R20" s="365"/>
      <c r="S20" s="447">
        <f>下旬汇总!S20</f>
        <v>0</v>
      </c>
      <c r="T20" s="448">
        <f>下旬汇总!T20</f>
        <v>0</v>
      </c>
      <c r="U20" s="324"/>
      <c r="V20" s="324"/>
      <c r="W20" s="307"/>
      <c r="X20" s="360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298"/>
      <c r="AM20" s="142">
        <f>'4.1'!AM20</f>
        <v>0</v>
      </c>
      <c r="AN20" s="28"/>
      <c r="AO20" s="156">
        <f>上旬汇总!AO20+中旬汇总!AO20+下旬汇总!AO20</f>
        <v>0</v>
      </c>
      <c r="AP20" s="156">
        <f>上旬汇总!AP20+中旬汇总!AP20+下旬汇总!AP20</f>
        <v>0</v>
      </c>
      <c r="AQ20" s="53">
        <f>AM20+AN20+AO20-AP20</f>
        <v>0</v>
      </c>
      <c r="AR20" s="156">
        <f>下旬汇总!AR20</f>
        <v>0</v>
      </c>
      <c r="AS20" s="155">
        <f>ROUND(AR20-AQ20,2)</f>
        <v>0</v>
      </c>
    </row>
    <row r="21" spans="1:45" ht="18" customHeight="1">
      <c r="A21" s="286"/>
      <c r="B21" s="292"/>
      <c r="C21" s="277"/>
      <c r="D21" s="277"/>
      <c r="E21" s="313">
        <f>上旬汇总!E21+中旬汇总!E21+下旬汇总!E21</f>
        <v>0</v>
      </c>
      <c r="F21" s="313">
        <f>上旬汇总!F21+中旬汇总!F21+下旬汇总!F21</f>
        <v>0</v>
      </c>
      <c r="G21" s="46" t="s">
        <v>148</v>
      </c>
      <c r="H21" s="58">
        <f>'4.1'!H21</f>
        <v>138356.84</v>
      </c>
      <c r="I21" s="76"/>
      <c r="J21" s="49"/>
      <c r="K21" s="32">
        <f>下旬汇总!K21</f>
        <v>0</v>
      </c>
      <c r="L21" s="32">
        <f>上旬汇总!L21+中旬汇总!L21+下旬汇总!L21</f>
        <v>0</v>
      </c>
      <c r="M21" s="277">
        <f>上旬汇总!M21+中旬汇总!M21+下旬汇总!M21</f>
        <v>-138356.84</v>
      </c>
      <c r="N21" s="277">
        <f>上旬汇总!N21+中旬汇总!N21+下旬汇总!N21</f>
        <v>0</v>
      </c>
      <c r="O21" s="364"/>
      <c r="P21" s="365"/>
      <c r="Q21" s="364"/>
      <c r="R21" s="365"/>
      <c r="S21" s="447">
        <f>下旬汇总!S21</f>
        <v>0</v>
      </c>
      <c r="T21" s="448">
        <f>下旬汇总!T21</f>
        <v>0</v>
      </c>
      <c r="U21" s="324"/>
      <c r="V21" s="324"/>
      <c r="W21" s="307"/>
      <c r="X21" s="360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298"/>
      <c r="AM21" s="46" t="s">
        <v>290</v>
      </c>
      <c r="AN21" s="141" t="s">
        <v>291</v>
      </c>
      <c r="AO21" s="28" t="s">
        <v>151</v>
      </c>
      <c r="AP21" s="28" t="s">
        <v>292</v>
      </c>
      <c r="AQ21" s="28" t="s">
        <v>293</v>
      </c>
      <c r="AR21" s="68" t="s">
        <v>154</v>
      </c>
      <c r="AS21" s="69" t="s">
        <v>155</v>
      </c>
    </row>
    <row r="22" spans="1:45" ht="18" customHeight="1">
      <c r="A22" s="283"/>
      <c r="B22" s="293"/>
      <c r="C22" s="277"/>
      <c r="D22" s="277"/>
      <c r="E22" s="313">
        <f>上旬汇总!E22+中旬汇总!E22+下旬汇总!E22</f>
        <v>0</v>
      </c>
      <c r="F22" s="313">
        <f>上旬汇总!F22+中旬汇总!F22+下旬汇总!F22</f>
        <v>0</v>
      </c>
      <c r="G22" s="46" t="s">
        <v>156</v>
      </c>
      <c r="H22" s="58">
        <f>'4.1'!H22</f>
        <v>168878.65</v>
      </c>
      <c r="I22" s="76"/>
      <c r="J22" s="49"/>
      <c r="K22" s="32">
        <f>下旬汇总!K22</f>
        <v>0</v>
      </c>
      <c r="L22" s="32">
        <f>上旬汇总!L22+中旬汇总!L22+下旬汇总!L22</f>
        <v>0</v>
      </c>
      <c r="M22" s="277">
        <f>上旬汇总!M22+中旬汇总!M22+下旬汇总!M22</f>
        <v>-168878.65</v>
      </c>
      <c r="N22" s="277">
        <f>上旬汇总!N22+中旬汇总!N22+下旬汇总!N22</f>
        <v>0</v>
      </c>
      <c r="O22" s="364"/>
      <c r="P22" s="365"/>
      <c r="Q22" s="364"/>
      <c r="R22" s="365"/>
      <c r="S22" s="447">
        <f>下旬汇总!S22</f>
        <v>0</v>
      </c>
      <c r="T22" s="448">
        <f>下旬汇总!T22</f>
        <v>0</v>
      </c>
      <c r="U22" s="324"/>
      <c r="V22" s="324"/>
      <c r="W22" s="307"/>
      <c r="X22" s="402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4"/>
      <c r="AM22" s="145">
        <f>'4.1'!AM22</f>
        <v>0</v>
      </c>
      <c r="AN22" s="28"/>
      <c r="AO22" s="70">
        <f>上旬汇总!AO22+中旬汇总!AO22+下旬汇总!AO22</f>
        <v>0</v>
      </c>
      <c r="AP22" s="70">
        <f>上旬汇总!AP22+中旬汇总!AP22+下旬汇总!AP22</f>
        <v>0</v>
      </c>
      <c r="AQ22" s="53">
        <f>AM22+AN22+AO22-AP22</f>
        <v>0</v>
      </c>
      <c r="AR22" s="70">
        <f>下旬汇总!AR22</f>
        <v>0</v>
      </c>
      <c r="AS22" s="155">
        <f>ROUND(AR22-AQ22,2)</f>
        <v>0</v>
      </c>
    </row>
    <row r="23" spans="1:45" ht="18" customHeight="1">
      <c r="A23" s="287" t="s">
        <v>157</v>
      </c>
      <c r="B23" s="291" t="s">
        <v>158</v>
      </c>
      <c r="C23" s="277">
        <f>'4.1'!C24</f>
        <v>0</v>
      </c>
      <c r="D23" s="277"/>
      <c r="E23" s="313">
        <f>上旬汇总!E23+中旬汇总!E23+下旬汇总!E23</f>
        <v>23007</v>
      </c>
      <c r="F23" s="313">
        <f>上旬汇总!F23+中旬汇总!F23+下旬汇总!F23</f>
        <v>0</v>
      </c>
      <c r="G23" s="46" t="s">
        <v>157</v>
      </c>
      <c r="H23" s="58">
        <f>'4.1'!H23</f>
        <v>59382.51</v>
      </c>
      <c r="I23" s="76"/>
      <c r="J23" s="49"/>
      <c r="K23" s="32">
        <f>下旬汇总!K23</f>
        <v>0</v>
      </c>
      <c r="L23" s="32">
        <f>上旬汇总!L23+中旬汇总!L23+下旬汇总!L23</f>
        <v>0</v>
      </c>
      <c r="M23" s="277">
        <f>上旬汇总!M23+中旬汇总!M23+下旬汇总!M23</f>
        <v>-59382.51</v>
      </c>
      <c r="N23" s="277">
        <f>上旬汇总!N23+中旬汇总!N23+下旬汇总!N23</f>
        <v>0</v>
      </c>
      <c r="O23" s="277">
        <f>M23+M24+M25</f>
        <v>-308680.23</v>
      </c>
      <c r="P23" s="277"/>
      <c r="Q23" s="277">
        <f>C23+E23-O23</f>
        <v>331687.23</v>
      </c>
      <c r="R23" s="277"/>
      <c r="S23" s="313">
        <f>下旬汇总!S23</f>
        <v>0</v>
      </c>
      <c r="T23" s="313">
        <f>下旬汇总!T23</f>
        <v>0</v>
      </c>
      <c r="U23" s="277">
        <f>S23-Q23</f>
        <v>-331687.23</v>
      </c>
      <c r="V23" s="277">
        <f>'4.30'!U23-'4.1'!U23</f>
        <v>-343032.8</v>
      </c>
      <c r="W23" s="313">
        <f>下旬汇总!W23</f>
        <v>0</v>
      </c>
      <c r="X23" s="250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359"/>
      <c r="AM23" s="46" t="s">
        <v>294</v>
      </c>
      <c r="AN23" s="141" t="s">
        <v>295</v>
      </c>
      <c r="AO23" s="28" t="s">
        <v>161</v>
      </c>
      <c r="AP23" s="28" t="s">
        <v>296</v>
      </c>
      <c r="AQ23" s="28" t="s">
        <v>297</v>
      </c>
      <c r="AR23" s="68" t="s">
        <v>164</v>
      </c>
      <c r="AS23" s="69" t="s">
        <v>165</v>
      </c>
    </row>
    <row r="24" spans="1:45" ht="18" customHeight="1">
      <c r="A24" s="288"/>
      <c r="B24" s="292"/>
      <c r="C24" s="277"/>
      <c r="D24" s="277"/>
      <c r="E24" s="313">
        <f>上旬汇总!E24+中旬汇总!E24+下旬汇总!E24</f>
        <v>0</v>
      </c>
      <c r="F24" s="313">
        <f>上旬汇总!F24+中旬汇总!F24+下旬汇总!F24</f>
        <v>0</v>
      </c>
      <c r="G24" s="46" t="s">
        <v>137</v>
      </c>
      <c r="H24" s="58">
        <f>'4.1'!H24</f>
        <v>138117.72</v>
      </c>
      <c r="I24" s="76"/>
      <c r="J24" s="49"/>
      <c r="K24" s="32">
        <f>下旬汇总!K24</f>
        <v>0</v>
      </c>
      <c r="L24" s="32">
        <f>上旬汇总!L24+中旬汇总!L24+下旬汇总!L24</f>
        <v>0</v>
      </c>
      <c r="M24" s="277">
        <f>上旬汇总!M24+中旬汇总!M24+下旬汇总!M24</f>
        <v>-138117.72</v>
      </c>
      <c r="N24" s="277">
        <f>上旬汇总!N24+中旬汇总!N24+下旬汇总!N24</f>
        <v>0</v>
      </c>
      <c r="O24" s="277"/>
      <c r="P24" s="277"/>
      <c r="Q24" s="277"/>
      <c r="R24" s="277"/>
      <c r="S24" s="313">
        <f>下旬汇总!S24</f>
        <v>0</v>
      </c>
      <c r="T24" s="313">
        <f>下旬汇总!T24</f>
        <v>0</v>
      </c>
      <c r="U24" s="277"/>
      <c r="V24" s="277">
        <f>'4.31'!U24-'4.1'!U24</f>
        <v>0</v>
      </c>
      <c r="W24" s="313"/>
      <c r="X24" s="360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298"/>
      <c r="AM24" s="145">
        <f>'4.1'!AM24</f>
        <v>0</v>
      </c>
      <c r="AN24" s="28"/>
      <c r="AO24" s="71">
        <f>上旬汇总!AO24+中旬汇总!AO24+下旬汇总!AO24</f>
        <v>0</v>
      </c>
      <c r="AP24" s="71">
        <f>上旬汇总!AP24+中旬汇总!AP24+下旬汇总!AP24</f>
        <v>0</v>
      </c>
      <c r="AQ24" s="53">
        <f>AM24+AN24+AO24-AP24</f>
        <v>0</v>
      </c>
      <c r="AR24" s="71">
        <f>下旬汇总!AR24</f>
        <v>0</v>
      </c>
      <c r="AS24" s="155">
        <f>ROUND(AR24-AQ24,2)</f>
        <v>0</v>
      </c>
    </row>
    <row r="25" spans="1:45" ht="18" customHeight="1">
      <c r="A25" s="289"/>
      <c r="B25" s="293"/>
      <c r="C25" s="277"/>
      <c r="D25" s="277"/>
      <c r="E25" s="313">
        <f>上旬汇总!E25+中旬汇总!E25+下旬汇总!E25</f>
        <v>0</v>
      </c>
      <c r="F25" s="313">
        <f>上旬汇总!F25+中旬汇总!F25+下旬汇总!F25</f>
        <v>0</v>
      </c>
      <c r="G25" s="46" t="s">
        <v>166</v>
      </c>
      <c r="H25" s="58">
        <f>'4.1'!H25</f>
        <v>111180</v>
      </c>
      <c r="I25" s="76"/>
      <c r="J25" s="49"/>
      <c r="K25" s="32">
        <f>下旬汇总!K25</f>
        <v>0</v>
      </c>
      <c r="L25" s="32">
        <f>上旬汇总!L25+中旬汇总!L25+下旬汇总!L25</f>
        <v>0</v>
      </c>
      <c r="M25" s="277">
        <f>上旬汇总!M25+中旬汇总!M25+下旬汇总!M25</f>
        <v>-111180</v>
      </c>
      <c r="N25" s="277">
        <f>上旬汇总!N25+中旬汇总!N25+下旬汇总!N25</f>
        <v>0</v>
      </c>
      <c r="O25" s="277"/>
      <c r="P25" s="277"/>
      <c r="Q25" s="277"/>
      <c r="R25" s="277"/>
      <c r="S25" s="313">
        <f>下旬汇总!S25</f>
        <v>0</v>
      </c>
      <c r="T25" s="313">
        <f>下旬汇总!T25</f>
        <v>0</v>
      </c>
      <c r="U25" s="277"/>
      <c r="V25" s="277">
        <f>'4.31'!U25-'4.1'!U25</f>
        <v>0</v>
      </c>
      <c r="W25" s="313"/>
      <c r="X25" s="360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298"/>
      <c r="AM25" s="46" t="s">
        <v>298</v>
      </c>
      <c r="AN25" s="141" t="s">
        <v>299</v>
      </c>
      <c r="AO25" s="28" t="s">
        <v>169</v>
      </c>
      <c r="AP25" s="28" t="s">
        <v>300</v>
      </c>
      <c r="AQ25" s="28" t="s">
        <v>301</v>
      </c>
      <c r="AR25" s="68" t="s">
        <v>172</v>
      </c>
      <c r="AS25" s="69" t="s">
        <v>173</v>
      </c>
    </row>
    <row r="26" spans="1:45" ht="18" customHeight="1">
      <c r="A26" s="59" t="s">
        <v>139</v>
      </c>
      <c r="B26" s="60" t="s">
        <v>174</v>
      </c>
      <c r="C26" s="277">
        <f>'4.1'!C26</f>
        <v>9602.6</v>
      </c>
      <c r="D26" s="277">
        <f>下旬汇总!D26</f>
        <v>0</v>
      </c>
      <c r="E26" s="440">
        <f>上旬汇总!E26+中旬汇总!E26+下旬汇总!E26</f>
        <v>0</v>
      </c>
      <c r="F26" s="441">
        <f>上旬汇总!F26+中旬汇总!F26+下旬汇总!F26</f>
        <v>0</v>
      </c>
      <c r="G26" s="28" t="s">
        <v>175</v>
      </c>
      <c r="H26" s="58">
        <f>'4.1'!H26</f>
        <v>11601.92</v>
      </c>
      <c r="I26" s="76"/>
      <c r="J26" s="49"/>
      <c r="K26" s="32">
        <f>下旬汇总!K26</f>
        <v>0</v>
      </c>
      <c r="L26" s="32">
        <f>上旬汇总!L26+中旬汇总!L26+下旬汇总!L26</f>
        <v>0</v>
      </c>
      <c r="M26" s="277">
        <f>上旬汇总!M26+中旬汇总!M26+下旬汇总!M26</f>
        <v>-11601.92</v>
      </c>
      <c r="N26" s="277">
        <f>上旬汇总!N26+中旬汇总!N26+下旬汇总!N26</f>
        <v>0</v>
      </c>
      <c r="O26" s="277">
        <f>M26</f>
        <v>-11601.92</v>
      </c>
      <c r="P26" s="277"/>
      <c r="Q26" s="277">
        <f>C26+E26-O26</f>
        <v>21204.52</v>
      </c>
      <c r="R26" s="277"/>
      <c r="S26" s="313">
        <f>下旬汇总!S26</f>
        <v>0</v>
      </c>
      <c r="T26" s="313">
        <f>下旬汇总!T26</f>
        <v>0</v>
      </c>
      <c r="U26" s="53">
        <f>S26-Q26</f>
        <v>-21204.52</v>
      </c>
      <c r="V26" s="53">
        <f>'4.30'!U26-'4.1'!U26</f>
        <v>-23943.54</v>
      </c>
      <c r="W26" s="32">
        <f>下旬汇总!W26</f>
        <v>0</v>
      </c>
      <c r="X26" s="280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2"/>
      <c r="AM26" s="119">
        <f>'4.1'!AM26</f>
        <v>0</v>
      </c>
      <c r="AN26" s="110"/>
      <c r="AO26" s="157">
        <f>上旬汇总!AO26+中旬汇总!AO26+下旬汇总!AO26</f>
        <v>0</v>
      </c>
      <c r="AP26" s="157">
        <f>上旬汇总!AP26+中旬汇总!AP26+下旬汇总!AP26</f>
        <v>0</v>
      </c>
      <c r="AQ26" s="147">
        <f>AM26+AN26+AO26-AP26</f>
        <v>0</v>
      </c>
      <c r="AR26" s="152">
        <f>下旬汇总!AR26</f>
        <v>0</v>
      </c>
      <c r="AS26" s="148">
        <f>ROUND(AR26-AQ26,2)</f>
        <v>0</v>
      </c>
    </row>
    <row r="27" spans="1:4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9" spans="1:45">
      <c r="AN29" s="27">
        <f>AN8+AN16</f>
        <v>517648.44</v>
      </c>
    </row>
  </sheetData>
  <sheetProtection formatCells="0" formatColumns="0" formatRows="0"/>
  <mergeCells count="145">
    <mergeCell ref="S23:T25"/>
    <mergeCell ref="X23:AL25"/>
    <mergeCell ref="X19:AL22"/>
    <mergeCell ref="A1:AN2"/>
    <mergeCell ref="AO1:AS2"/>
    <mergeCell ref="A3:B5"/>
    <mergeCell ref="X17:AL18"/>
    <mergeCell ref="A15:AL16"/>
    <mergeCell ref="V10:W13"/>
    <mergeCell ref="E10:F14"/>
    <mergeCell ref="AB10:AF14"/>
    <mergeCell ref="A12:B14"/>
    <mergeCell ref="C19:D22"/>
    <mergeCell ref="E19:F22"/>
    <mergeCell ref="O19:P22"/>
    <mergeCell ref="Q19:R22"/>
    <mergeCell ref="S19:T22"/>
    <mergeCell ref="C17:D18"/>
    <mergeCell ref="E17:F18"/>
    <mergeCell ref="Q17:R18"/>
    <mergeCell ref="S17:T18"/>
    <mergeCell ref="AL4:AL5"/>
    <mergeCell ref="AL10:AL12"/>
    <mergeCell ref="AM4:AM5"/>
    <mergeCell ref="AN4:AN5"/>
    <mergeCell ref="AO4:AO5"/>
    <mergeCell ref="AP4:AP5"/>
    <mergeCell ref="AQ4:AQ5"/>
    <mergeCell ref="AR4:AR5"/>
    <mergeCell ref="AS4:AS5"/>
    <mergeCell ref="AD6:AD8"/>
    <mergeCell ref="AE4:AE5"/>
    <mergeCell ref="AE6:AE8"/>
    <mergeCell ref="AF4:AF5"/>
    <mergeCell ref="AF6:AF8"/>
    <mergeCell ref="AG4:AG5"/>
    <mergeCell ref="AH4:AH5"/>
    <mergeCell ref="AI4:AI5"/>
    <mergeCell ref="AJ4:AJ5"/>
    <mergeCell ref="U23:U25"/>
    <mergeCell ref="V4:V5"/>
    <mergeCell ref="V6:V8"/>
    <mergeCell ref="V17:V18"/>
    <mergeCell ref="V19:V22"/>
    <mergeCell ref="V23:V25"/>
    <mergeCell ref="W4:W5"/>
    <mergeCell ref="W17:W18"/>
    <mergeCell ref="W19:W22"/>
    <mergeCell ref="W23:W25"/>
    <mergeCell ref="S26:T26"/>
    <mergeCell ref="X26:AL26"/>
    <mergeCell ref="A17:A18"/>
    <mergeCell ref="A19:A22"/>
    <mergeCell ref="A23:A25"/>
    <mergeCell ref="B17:B18"/>
    <mergeCell ref="B19:B22"/>
    <mergeCell ref="B23:B25"/>
    <mergeCell ref="C3:C5"/>
    <mergeCell ref="D3:D5"/>
    <mergeCell ref="D10:D14"/>
    <mergeCell ref="E4:E5"/>
    <mergeCell ref="F4:F5"/>
    <mergeCell ref="G6:G8"/>
    <mergeCell ref="H6:H8"/>
    <mergeCell ref="I6:I8"/>
    <mergeCell ref="J6:J8"/>
    <mergeCell ref="K4:K5"/>
    <mergeCell ref="K12:K14"/>
    <mergeCell ref="L4:L5"/>
    <mergeCell ref="L6:L8"/>
    <mergeCell ref="M4:M5"/>
    <mergeCell ref="M10:M13"/>
    <mergeCell ref="N4:N5"/>
    <mergeCell ref="M22:N22"/>
    <mergeCell ref="M23:N23"/>
    <mergeCell ref="M24:N24"/>
    <mergeCell ref="M25:N25"/>
    <mergeCell ref="C26:D26"/>
    <mergeCell ref="E26:F26"/>
    <mergeCell ref="M26:N26"/>
    <mergeCell ref="O26:P26"/>
    <mergeCell ref="Q26:R26"/>
    <mergeCell ref="C23:D25"/>
    <mergeCell ref="E23:F25"/>
    <mergeCell ref="O23:P25"/>
    <mergeCell ref="Q23:R25"/>
    <mergeCell ref="G14:J14"/>
    <mergeCell ref="L14:P14"/>
    <mergeCell ref="X14:AA14"/>
    <mergeCell ref="G17:P17"/>
    <mergeCell ref="M18:N18"/>
    <mergeCell ref="O18:P18"/>
    <mergeCell ref="M19:N19"/>
    <mergeCell ref="M20:N20"/>
    <mergeCell ref="M21:N21"/>
    <mergeCell ref="U17:U18"/>
    <mergeCell ref="U19:U22"/>
    <mergeCell ref="A6:B6"/>
    <mergeCell ref="A7:B7"/>
    <mergeCell ref="AG7:AK7"/>
    <mergeCell ref="A8:B8"/>
    <mergeCell ref="A9:B9"/>
    <mergeCell ref="A10:B10"/>
    <mergeCell ref="AG10:AK10"/>
    <mergeCell ref="A11:B11"/>
    <mergeCell ref="G13:J13"/>
    <mergeCell ref="N6:N8"/>
    <mergeCell ref="N10:N13"/>
    <mergeCell ref="O6:O8"/>
    <mergeCell ref="P6:P8"/>
    <mergeCell ref="Q6:Q8"/>
    <mergeCell ref="R6:R8"/>
    <mergeCell ref="S6:S8"/>
    <mergeCell ref="T6:T8"/>
    <mergeCell ref="U6:U8"/>
    <mergeCell ref="X10:X13"/>
    <mergeCell ref="Y6:Y8"/>
    <mergeCell ref="Y10:Y13"/>
    <mergeCell ref="Z6:Z8"/>
    <mergeCell ref="Z10:Z13"/>
    <mergeCell ref="AB6:AB8"/>
    <mergeCell ref="E3:K3"/>
    <mergeCell ref="L3:P3"/>
    <mergeCell ref="Q3:U3"/>
    <mergeCell ref="V3:AA3"/>
    <mergeCell ref="AB3:AF3"/>
    <mergeCell ref="AG3:AK3"/>
    <mergeCell ref="AM3:AS3"/>
    <mergeCell ref="G4:H4"/>
    <mergeCell ref="I4:J4"/>
    <mergeCell ref="O4:O5"/>
    <mergeCell ref="P4:P5"/>
    <mergeCell ref="Q4:Q5"/>
    <mergeCell ref="R4:R5"/>
    <mergeCell ref="S4:S5"/>
    <mergeCell ref="T4:T5"/>
    <mergeCell ref="U4:U5"/>
    <mergeCell ref="X4:X5"/>
    <mergeCell ref="Y4:Y5"/>
    <mergeCell ref="Z4:Z5"/>
    <mergeCell ref="AA4:AA5"/>
    <mergeCell ref="AB4:AB5"/>
    <mergeCell ref="AC4:AC5"/>
    <mergeCell ref="AD4:AD5"/>
    <mergeCell ref="AK4:AK5"/>
  </mergeCells>
  <phoneticPr fontId="21" type="noConversion"/>
  <conditionalFormatting sqref="C13">
    <cfRule type="cellIs" dxfId="2" priority="1" operator="notEqual">
      <formula>0</formula>
    </cfRule>
  </conditionalFormatting>
  <conditionalFormatting sqref="W14">
    <cfRule type="cellIs" dxfId="1" priority="2" operator="notEqual">
      <formula>0</formula>
    </cfRule>
  </conditionalFormatting>
  <conditionalFormatting sqref="AS14 AS16 AS18 AS20 AS22 AS24 AS26 AS12 K11 AS6 AS8 AS10 AA13">
    <cfRule type="cellIs" dxfId="0" priority="3" operator="notEqual">
      <formula>0</formula>
    </cfRule>
  </conditionalFormatting>
  <dataValidations count="1">
    <dataValidation type="custom" allowBlank="1" showInputMessage="1" showErrorMessage="1" errorTitle="禁止修改" error="已经填写完毕的报表，若修改表中数据，请联系表格设计者" sqref="AL1:AL10 AL13:AL26 A1:AK26 AM1:AS26">
      <formula1>TODAY()&lt;--"2025-5-5"</formula1>
    </dataValidation>
  </dataValidations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70C0"/>
  </sheetPr>
  <dimension ref="A1:U36"/>
  <sheetViews>
    <sheetView workbookViewId="0">
      <selection sqref="A1:AS26"/>
    </sheetView>
  </sheetViews>
  <sheetFormatPr defaultColWidth="9" defaultRowHeight="13.5"/>
  <cols>
    <col min="5" max="5" width="11.125" customWidth="1"/>
    <col min="9" max="9" width="13.5" customWidth="1"/>
    <col min="10" max="10" width="11.625" customWidth="1"/>
  </cols>
  <sheetData>
    <row r="1" spans="1:21" ht="18.75">
      <c r="A1" s="459" t="s">
        <v>302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25">
      <c r="A2" s="467" t="s">
        <v>303</v>
      </c>
      <c r="B2" s="460" t="s">
        <v>39</v>
      </c>
      <c r="C2" s="461"/>
      <c r="D2" s="462"/>
      <c r="E2" s="460" t="s">
        <v>304</v>
      </c>
      <c r="F2" s="461"/>
      <c r="G2" s="461"/>
      <c r="H2" s="461"/>
      <c r="I2" s="461"/>
      <c r="J2" s="461"/>
      <c r="K2" s="462"/>
      <c r="L2" s="470" t="s">
        <v>305</v>
      </c>
      <c r="M2" s="463" t="s">
        <v>35</v>
      </c>
      <c r="N2" s="461"/>
      <c r="O2" s="464"/>
      <c r="P2" s="472" t="s">
        <v>306</v>
      </c>
      <c r="Q2" s="473" t="s">
        <v>307</v>
      </c>
      <c r="R2" s="475" t="s">
        <v>308</v>
      </c>
      <c r="S2" s="464" t="s">
        <v>309</v>
      </c>
      <c r="T2" s="465"/>
      <c r="U2" s="466"/>
    </row>
    <row r="3" spans="1:21">
      <c r="A3" s="468"/>
      <c r="B3" s="13" t="s">
        <v>138</v>
      </c>
      <c r="C3" s="14" t="s">
        <v>158</v>
      </c>
      <c r="D3" s="15" t="s">
        <v>310</v>
      </c>
      <c r="E3" s="13" t="s">
        <v>311</v>
      </c>
      <c r="F3" s="14" t="s">
        <v>312</v>
      </c>
      <c r="G3" s="14" t="s">
        <v>313</v>
      </c>
      <c r="H3" s="14" t="s">
        <v>314</v>
      </c>
      <c r="I3" s="14" t="s">
        <v>315</v>
      </c>
      <c r="J3" s="14" t="s">
        <v>316</v>
      </c>
      <c r="K3" s="15" t="s">
        <v>21</v>
      </c>
      <c r="L3" s="471"/>
      <c r="M3" s="14" t="s">
        <v>37</v>
      </c>
      <c r="N3" s="14" t="s">
        <v>38</v>
      </c>
      <c r="O3" s="14" t="s">
        <v>317</v>
      </c>
      <c r="P3" s="465"/>
      <c r="Q3" s="474"/>
      <c r="R3" s="466"/>
      <c r="S3" s="13" t="s">
        <v>138</v>
      </c>
      <c r="T3" s="14" t="s">
        <v>158</v>
      </c>
      <c r="U3" s="15" t="s">
        <v>310</v>
      </c>
    </row>
    <row r="4" spans="1:21">
      <c r="A4" s="469"/>
      <c r="B4" s="13" t="s">
        <v>318</v>
      </c>
      <c r="C4" s="14" t="s">
        <v>318</v>
      </c>
      <c r="D4" s="15" t="s">
        <v>318</v>
      </c>
      <c r="E4" s="13" t="s">
        <v>319</v>
      </c>
      <c r="F4" s="14" t="s">
        <v>319</v>
      </c>
      <c r="G4" s="14" t="s">
        <v>319</v>
      </c>
      <c r="H4" s="14" t="s">
        <v>319</v>
      </c>
      <c r="I4" s="14" t="s">
        <v>319</v>
      </c>
      <c r="J4" s="14" t="s">
        <v>319</v>
      </c>
      <c r="K4" s="15" t="s">
        <v>319</v>
      </c>
      <c r="L4" s="13" t="s">
        <v>319</v>
      </c>
      <c r="M4" s="14" t="s">
        <v>319</v>
      </c>
      <c r="N4" s="14" t="s">
        <v>319</v>
      </c>
      <c r="O4" s="14" t="s">
        <v>319</v>
      </c>
      <c r="P4" s="14" t="s">
        <v>319</v>
      </c>
      <c r="Q4" s="14" t="s">
        <v>319</v>
      </c>
      <c r="R4" s="15" t="s">
        <v>319</v>
      </c>
      <c r="S4" s="13" t="s">
        <v>318</v>
      </c>
      <c r="T4" s="14" t="s">
        <v>318</v>
      </c>
      <c r="U4" s="15" t="s">
        <v>318</v>
      </c>
    </row>
    <row r="5" spans="1:21">
      <c r="A5" s="16">
        <v>1</v>
      </c>
      <c r="B5" s="17">
        <f>IF(E5&gt;0,'4.1'!$O$19,IF(E5&lt;=0,0))</f>
        <v>7135.1200000000199</v>
      </c>
      <c r="C5" s="18">
        <f>IF(E5&gt;0,'4.1'!$Q$23,IF(E5&lt;=0,0))</f>
        <v>11568.33</v>
      </c>
      <c r="D5" s="19">
        <f>IF(E5&gt;0,'4.1'!$O$26,IF(E5&lt;=0,0))</f>
        <v>455.82</v>
      </c>
      <c r="E5" s="17">
        <f>'4.1'!$A$11</f>
        <v>71870.09</v>
      </c>
      <c r="F5" s="18">
        <f>'4.1'!$D$6+'4.1'!$AI$6+'4.1'!$AI$9+'4.1'!$AI$12</f>
        <v>8287.25</v>
      </c>
      <c r="G5" s="18">
        <f>'4.1'!$C$7</f>
        <v>15401</v>
      </c>
      <c r="H5" s="18">
        <f>'4.1'!$D$7</f>
        <v>0</v>
      </c>
      <c r="I5" s="18">
        <f>'4.1'!$C$8</f>
        <v>204.3</v>
      </c>
      <c r="J5" s="18">
        <f>'4.1'!$D$8</f>
        <v>0</v>
      </c>
      <c r="K5" s="19">
        <f>'4.1'!$H$9+'4.1'!$G$9+'4.1'!$T$9+'4.1'!$AE$9</f>
        <v>96.76</v>
      </c>
      <c r="L5" s="17">
        <f>IF(E5&gt;0,'4.1'!$P$9,IF(E5&lt;=0,0))</f>
        <v>35273.950000000099</v>
      </c>
      <c r="M5" s="18">
        <f>'4.1'!$AR$8</f>
        <v>255286.14</v>
      </c>
      <c r="N5" s="18">
        <f>'4.1'!$AR$10</f>
        <v>938162.84</v>
      </c>
      <c r="O5" s="18">
        <f>M5+N5</f>
        <v>1193448.98</v>
      </c>
      <c r="P5" s="18">
        <f>IF(E5&gt;0,('4.1'!$K$9+'4.1'!$U$9+'4.1'!$AF$9+'4.1'!$AK$6+'4.1'!$AK$9+'4.1'!$AK$12),IF(E5&lt;=0,0))</f>
        <v>1305.31000000005</v>
      </c>
      <c r="Q5" s="18">
        <f>IF(E5&gt;0,'4.1'!$Z$9,IF(E5&lt;=0,0))</f>
        <v>724630.94</v>
      </c>
      <c r="R5" s="19">
        <f>L5+O5+P5-Q5</f>
        <v>505397.3</v>
      </c>
      <c r="S5" s="17">
        <f>'4.1'!$S$19</f>
        <v>28554.400000000001</v>
      </c>
      <c r="T5" s="18">
        <f>'4.1'!$S$23</f>
        <v>9035</v>
      </c>
      <c r="U5" s="19">
        <f>'4.1'!$S$26</f>
        <v>11885.8</v>
      </c>
    </row>
    <row r="6" spans="1:21">
      <c r="A6" s="16">
        <v>2</v>
      </c>
      <c r="B6" s="17">
        <f>IF(E6&gt;0,'4.2'!$O$19,IF(E6&lt;=0,0))</f>
        <v>9510.8799999999992</v>
      </c>
      <c r="C6" s="18">
        <f>IF(E6&gt;0,'4.2'!$Q$23,IF(E6&lt;=0,0))</f>
        <v>8609.08</v>
      </c>
      <c r="D6" s="19">
        <f>IF(E6&gt;0,'4.2'!$O$26,IF(E6&lt;=0,0))</f>
        <v>507.87000000000103</v>
      </c>
      <c r="E6" s="17">
        <f>'4.2'!$A$11</f>
        <v>94199.679999999993</v>
      </c>
      <c r="F6" s="18">
        <f>'4.2'!$D$6+'4.2'!$AI$6+'4.2'!$AI$9+'4.2'!$AI$12</f>
        <v>9879.5400000000009</v>
      </c>
      <c r="G6" s="18">
        <f>'4.2'!$C$7</f>
        <v>19797.55</v>
      </c>
      <c r="H6" s="18">
        <f>'4.2'!$D$7</f>
        <v>0</v>
      </c>
      <c r="I6" s="18">
        <f>'4.2'!$C$8</f>
        <v>223.5</v>
      </c>
      <c r="J6" s="18">
        <f>'4.2'!$D$8</f>
        <v>0</v>
      </c>
      <c r="K6" s="19">
        <f>'4.2'!$H$9+'4.2'!$G$9+'4.2'!$T$9+'4.2'!$AE$9</f>
        <v>99.71</v>
      </c>
      <c r="L6" s="17">
        <f>IF(E6&gt;0,'4.2'!$P$9,IF(E6&lt;=0,0))</f>
        <v>40449.630000000099</v>
      </c>
      <c r="M6" s="18">
        <f>'4.2'!$AR$8</f>
        <v>317999.09000000003</v>
      </c>
      <c r="N6" s="18">
        <f>'4.2'!$AR$10</f>
        <v>937807.01</v>
      </c>
      <c r="O6" s="18">
        <f t="shared" ref="O6:O35" si="0">M6+N6</f>
        <v>1255806.1000000001</v>
      </c>
      <c r="P6" s="18">
        <f>IF(E6&gt;0,('4.2'!$K$9+'4.2'!$U$9+'4.2'!$AF$9+'4.2'!$AK$6+'4.2'!$AK$9+'4.2'!$AK$12),IF(E6&lt;=0,0))</f>
        <v>8059.1100000000497</v>
      </c>
      <c r="Q6" s="18">
        <f>IF(E6&gt;0,'4.2'!$Z$9,IF(E6&lt;=0,0))</f>
        <v>719327.06</v>
      </c>
      <c r="R6" s="19">
        <f t="shared" ref="R6:R35" si="1">L6+O6+P6-Q6</f>
        <v>584987.78</v>
      </c>
      <c r="S6" s="17">
        <f>'4.2'!$S$19</f>
        <v>18904</v>
      </c>
      <c r="T6" s="18">
        <f>'4.2'!$S$23</f>
        <v>6176</v>
      </c>
      <c r="U6" s="19">
        <f>'4.2'!$S$26</f>
        <v>11352</v>
      </c>
    </row>
    <row r="7" spans="1:21">
      <c r="A7" s="16">
        <v>3</v>
      </c>
      <c r="B7" s="17">
        <f>IF(E7&gt;0,'4.3'!$O$19,IF(E7&lt;=0,0))</f>
        <v>8256.3600000000406</v>
      </c>
      <c r="C7" s="18">
        <f>IF(E7&gt;0,'4.3'!$Q$23,IF(E7&lt;=0,0))</f>
        <v>5887.7299999999896</v>
      </c>
      <c r="D7" s="19">
        <f>IF(E7&gt;0,'4.3'!$O$26,IF(E7&lt;=0,0))</f>
        <v>728.67</v>
      </c>
      <c r="E7" s="17">
        <f>'4.3'!$A$11</f>
        <v>85722.5</v>
      </c>
      <c r="F7" s="18">
        <f>'4.3'!$D$6+'4.3'!$AI$6+'4.3'!$AI$9+'4.3'!$AI$12</f>
        <v>9809.82</v>
      </c>
      <c r="G7" s="18">
        <f>'4.3'!$C$7</f>
        <v>30013</v>
      </c>
      <c r="H7" s="18">
        <f>'4.3'!$D$7</f>
        <v>0</v>
      </c>
      <c r="I7" s="18">
        <f>'4.3'!$C$8</f>
        <v>281.5</v>
      </c>
      <c r="J7" s="18">
        <f>'4.3'!$D$8</f>
        <v>0</v>
      </c>
      <c r="K7" s="19">
        <f>'4.3'!$H$9+'4.3'!$G$9+'4.3'!$T$9+'4.3'!$AE$9</f>
        <v>169.95</v>
      </c>
      <c r="L7" s="17">
        <f>IF(E7&gt;0,'4.3'!$P$9,IF(E7&lt;=0,0))</f>
        <v>42920.690000000097</v>
      </c>
      <c r="M7" s="18">
        <f>'4.3'!$AR$8</f>
        <v>393923.33</v>
      </c>
      <c r="N7" s="18">
        <f>'4.3'!$AR$10</f>
        <v>946211.99</v>
      </c>
      <c r="O7" s="18">
        <f t="shared" si="0"/>
        <v>1340135.32</v>
      </c>
      <c r="P7" s="18">
        <f>IF(E7&gt;0,('4.3'!$K$9+'4.3'!$U$9+'4.3'!$AF$9+'4.3'!$AK$6+'4.3'!$AK$9+'4.3'!$AK$12),IF(E7&lt;=0,0))</f>
        <v>2323.2400000000498</v>
      </c>
      <c r="Q7" s="18">
        <f>IF(E7&gt;0,'4.3'!$Z$9,IF(E7&lt;=0,0))</f>
        <v>724621.22</v>
      </c>
      <c r="R7" s="19">
        <f t="shared" si="1"/>
        <v>660758.03</v>
      </c>
      <c r="S7" s="17">
        <f>'4.3'!$S$19</f>
        <v>7382</v>
      </c>
      <c r="T7" s="18">
        <f>'4.3'!$S$23</f>
        <v>7105.2</v>
      </c>
      <c r="U7" s="19">
        <f>'4.3'!$S$26</f>
        <v>11019.4</v>
      </c>
    </row>
    <row r="8" spans="1:21">
      <c r="A8" s="16">
        <v>4</v>
      </c>
      <c r="B8" s="17">
        <f>IF(E8&gt;0,'4.4'!$O$19,IF(E8&lt;=0,0))</f>
        <v>8150.9899999999598</v>
      </c>
      <c r="C8" s="18">
        <f>IF(E8&gt;0,'4.4'!$Q$23,IF(E8&lt;=0,0))</f>
        <v>3202.26</v>
      </c>
      <c r="D8" s="19">
        <f>IF(E8&gt;0,'4.4'!$O$26,IF(E8&lt;=0,0))</f>
        <v>579.66</v>
      </c>
      <c r="E8" s="17">
        <f>'4.4'!$A$11</f>
        <v>85018.64</v>
      </c>
      <c r="F8" s="18">
        <f>'4.4'!$D$6+'4.4'!$AI$6+'4.4'!$AI$9+'4.4'!$AI$12</f>
        <v>9554.99</v>
      </c>
      <c r="G8" s="18">
        <f>'4.4'!$C$7</f>
        <v>14750</v>
      </c>
      <c r="H8" s="18">
        <f>'4.4'!$D$7</f>
        <v>0</v>
      </c>
      <c r="I8" s="18">
        <f>'4.4'!$C$8</f>
        <v>291</v>
      </c>
      <c r="J8" s="18">
        <f>'4.4'!$D$8</f>
        <v>0</v>
      </c>
      <c r="K8" s="19">
        <f>'4.4'!$H$9+'4.4'!$G$9+'4.4'!$T$9+'4.4'!$AE$9</f>
        <v>125.64</v>
      </c>
      <c r="L8" s="17">
        <f>IF(E8&gt;0,'4.4'!$P$9,IF(E8&lt;=0,0))</f>
        <v>38334.370000000097</v>
      </c>
      <c r="M8" s="18">
        <f>'4.4'!$AR$8</f>
        <v>239740.5</v>
      </c>
      <c r="N8" s="18">
        <f>'4.4'!$AR$10</f>
        <v>951917.68</v>
      </c>
      <c r="O8" s="18">
        <f t="shared" si="0"/>
        <v>1191658.18</v>
      </c>
      <c r="P8" s="18">
        <f>IF(E8&gt;0,('4.4'!$K$9+'4.4'!$U$9+'4.4'!$AF$9+'4.4'!$AK$6+'4.4'!$AK$9+'4.4'!$AK$12),IF(E8&lt;=0,0))</f>
        <v>3231.6600000000399</v>
      </c>
      <c r="Q8" s="18">
        <f>IF(E8&gt;0,'4.4'!$Z$9,IF(E8&lt;=0,0))</f>
        <v>719577.17</v>
      </c>
      <c r="R8" s="19">
        <f t="shared" si="1"/>
        <v>513647.04</v>
      </c>
      <c r="S8" s="17">
        <f>'4.4'!$S$19</f>
        <v>0</v>
      </c>
      <c r="T8" s="18">
        <f>'4.4'!$S$23</f>
        <v>4926.3999999999996</v>
      </c>
      <c r="U8" s="19">
        <f>'4.4'!$S$26</f>
        <v>6764.3</v>
      </c>
    </row>
    <row r="9" spans="1:21">
      <c r="A9" s="16">
        <v>5</v>
      </c>
      <c r="B9" s="17">
        <f>IF(E9&gt;0,'4.5'!$O$19,IF(E9&lt;=0,0))</f>
        <v>7668.5100000000102</v>
      </c>
      <c r="C9" s="18">
        <f>IF(E9&gt;0,'4.5'!$Q$23,IF(E9&lt;=0,0))</f>
        <v>6674.61</v>
      </c>
      <c r="D9" s="19">
        <f>IF(E9&gt;0,'4.5'!$O$26,IF(E9&lt;=0,0))</f>
        <v>423.16</v>
      </c>
      <c r="E9" s="17">
        <f>'4.5'!$A$11</f>
        <v>80074.19</v>
      </c>
      <c r="F9" s="18">
        <f>'4.5'!$D$6+'4.5'!$AI$6+'4.5'!$AI$9+'4.5'!$AI$12</f>
        <v>9225.39</v>
      </c>
      <c r="G9" s="18">
        <f>'4.5'!$C$7</f>
        <v>33413</v>
      </c>
      <c r="H9" s="18">
        <f>'4.5'!$D$7</f>
        <v>0</v>
      </c>
      <c r="I9" s="18">
        <f>'4.5'!$C$8</f>
        <v>252.6</v>
      </c>
      <c r="J9" s="18">
        <f>'4.5'!$D$8</f>
        <v>0</v>
      </c>
      <c r="K9" s="19">
        <f>'4.5'!$H$9+'4.5'!$G$9+'4.5'!$T$9+'4.5'!$AE$9</f>
        <v>160.61000000000001</v>
      </c>
      <c r="L9" s="17">
        <f>IF(E9&gt;0,'4.5'!$P$9,IF(E9&lt;=0,0))</f>
        <v>41804.830000000104</v>
      </c>
      <c r="M9" s="18">
        <f>'4.5'!$AR$8</f>
        <v>306736.75</v>
      </c>
      <c r="N9" s="18">
        <f>'4.5'!$AR$10</f>
        <v>920320.43</v>
      </c>
      <c r="O9" s="18">
        <f t="shared" si="0"/>
        <v>1227057.18</v>
      </c>
      <c r="P9" s="18">
        <f>IF(E9&gt;0,('4.5'!$K$9+'4.5'!$U$9+'4.5'!$AF$9+'4.5'!$AK$6+'4.5'!$AK$9+'4.5'!$AK$12),IF(E9&lt;=0,0))</f>
        <v>3354.8500000000399</v>
      </c>
      <c r="Q9" s="18">
        <f>IF(E9&gt;0,'4.5'!$Z$9,IF(E9&lt;=0,0))</f>
        <v>727102.48</v>
      </c>
      <c r="R9" s="19">
        <f t="shared" si="1"/>
        <v>545114.38</v>
      </c>
      <c r="S9" s="17">
        <f>'4.5'!$S$19</f>
        <v>30641</v>
      </c>
      <c r="T9" s="18">
        <f>'4.5'!$S$23</f>
        <v>8399</v>
      </c>
      <c r="U9" s="19">
        <f>'4.5'!$S$26</f>
        <v>6341</v>
      </c>
    </row>
    <row r="10" spans="1:21">
      <c r="A10" s="16">
        <v>6</v>
      </c>
      <c r="B10" s="17">
        <f>IF(E10&gt;0,'4.6'!$O$19,IF(E10&lt;=0,0))</f>
        <v>9711.3700000000008</v>
      </c>
      <c r="C10" s="18">
        <f>IF(E10&gt;0,'4.6'!$Q$23,IF(E10&lt;=0,0))</f>
        <v>3240.6799999999898</v>
      </c>
      <c r="D10" s="19">
        <f>IF(E10&gt;0,'4.6'!$O$26,IF(E10&lt;=0,0))</f>
        <v>672.69000000000096</v>
      </c>
      <c r="E10" s="17">
        <f>'4.6'!$A$11</f>
        <v>102995.79</v>
      </c>
      <c r="F10" s="18">
        <f>'4.6'!$D$6+'4.6'!$AI$6+'4.6'!$AI$9+'4.6'!$AI$12</f>
        <v>11860.87</v>
      </c>
      <c r="G10" s="18">
        <f>'4.6'!$C$7</f>
        <v>32322</v>
      </c>
      <c r="H10" s="18">
        <f>'4.6'!$D$7</f>
        <v>0</v>
      </c>
      <c r="I10" s="18">
        <f>'4.6'!$C$8</f>
        <v>282.5</v>
      </c>
      <c r="J10" s="18">
        <f>'4.6'!$D$8</f>
        <v>0</v>
      </c>
      <c r="K10" s="19">
        <f>'4.6'!$H$9+'4.6'!$G$9+'4.6'!$T$9+'4.6'!$AE$9</f>
        <v>164.6</v>
      </c>
      <c r="L10" s="17">
        <f>IF(E10&gt;0,'4.6'!$P$9,IF(E10&lt;=0,0))</f>
        <v>42484.230000000098</v>
      </c>
      <c r="M10" s="18">
        <f>'4.6'!$AR$8</f>
        <v>379255.4</v>
      </c>
      <c r="N10" s="18">
        <f>'4.6'!$AR$10</f>
        <v>637892.21</v>
      </c>
      <c r="O10" s="18">
        <f t="shared" si="0"/>
        <v>1017147.61</v>
      </c>
      <c r="P10" s="18">
        <f>IF(E10&gt;0,('4.6'!$K$9+'4.6'!$U$9+'4.6'!$AF$9+'4.6'!$AK$6+'4.6'!$AK$9+'4.6'!$AK$12),IF(E10&lt;=0,0))</f>
        <v>8833.7400000000398</v>
      </c>
      <c r="Q10" s="18">
        <f>IF(E10&gt;0,'4.6'!$Z$9,IF(E10&lt;=0,0))</f>
        <v>727818.79</v>
      </c>
      <c r="R10" s="19">
        <f t="shared" si="1"/>
        <v>340646.79</v>
      </c>
      <c r="S10" s="17">
        <f>'4.6'!$S$19</f>
        <v>23336</v>
      </c>
      <c r="T10" s="18">
        <f>'4.6'!$S$23</f>
        <v>6086</v>
      </c>
      <c r="U10" s="19">
        <f>'4.6'!$S$26</f>
        <v>5400.5</v>
      </c>
    </row>
    <row r="11" spans="1:21">
      <c r="A11" s="16">
        <v>7</v>
      </c>
      <c r="B11" s="17">
        <f>IF(E11&gt;0,'4.7'!$O$19,IF(E11&lt;=0,0))</f>
        <v>7761.3999999999896</v>
      </c>
      <c r="C11" s="18">
        <f>IF(E11&gt;0,'4.7'!$Q$23,IF(E11&lt;=0,0))</f>
        <v>897.20999999999594</v>
      </c>
      <c r="D11" s="19">
        <f>IF(E11&gt;0,'4.7'!$O$26,IF(E11&lt;=0,0))</f>
        <v>713.43999999999903</v>
      </c>
      <c r="E11" s="17">
        <f>'4.7'!$A$11</f>
        <v>80402.83</v>
      </c>
      <c r="F11" s="18">
        <f>'4.7'!$D$6+'4.7'!$AI$6+'4.7'!$AI$9+'4.7'!$AI$12</f>
        <v>9745.61</v>
      </c>
      <c r="G11" s="18">
        <f>'4.7'!$C$7</f>
        <v>30578</v>
      </c>
      <c r="H11" s="18">
        <f>'4.7'!$D$7</f>
        <v>0</v>
      </c>
      <c r="I11" s="18">
        <f>'4.7'!$C$8</f>
        <v>164.5</v>
      </c>
      <c r="J11" s="18">
        <f>'4.7'!$D$8</f>
        <v>0</v>
      </c>
      <c r="K11" s="19">
        <f>'4.7'!$H$9+'4.7'!$G$9+'4.7'!$T$9+'4.7'!$AE$9</f>
        <v>156.5</v>
      </c>
      <c r="L11" s="17">
        <f>IF(E11&gt;0,'4.7'!$P$9,IF(E11&lt;=0,0))</f>
        <v>49861.550000000097</v>
      </c>
      <c r="M11" s="18">
        <f>'4.7'!$AR$8</f>
        <v>447633.34</v>
      </c>
      <c r="N11" s="18">
        <f>'4.7'!$AR$10</f>
        <v>644505.11</v>
      </c>
      <c r="O11" s="18">
        <f t="shared" si="0"/>
        <v>1092138.45</v>
      </c>
      <c r="P11" s="18">
        <f>IF(E11&gt;0,('4.7'!$K$9+'4.7'!$U$9+'4.7'!$AF$9+'4.7'!$AK$6+'4.7'!$AK$9+'4.7'!$AK$12),IF(E11&lt;=0,0))</f>
        <v>3583.1400000000399</v>
      </c>
      <c r="Q11" s="18">
        <f>IF(E11&gt;0,'4.7'!$Z$9,IF(E11&lt;=0,0))</f>
        <v>734821</v>
      </c>
      <c r="R11" s="19">
        <f t="shared" si="1"/>
        <v>410762.14</v>
      </c>
      <c r="S11" s="17">
        <f>'4.7'!$S$19</f>
        <v>15260.8</v>
      </c>
      <c r="T11" s="18">
        <f>'4.7'!$S$23</f>
        <v>3838.2</v>
      </c>
      <c r="U11" s="19">
        <f>'4.7'!$S$26</f>
        <v>4552.3999999999996</v>
      </c>
    </row>
    <row r="12" spans="1:21">
      <c r="A12" s="16">
        <v>8</v>
      </c>
      <c r="B12" s="17">
        <f>IF(E12&gt;0,'4.8'!$O$19,IF(E12&lt;=0,0))</f>
        <v>6296.8199999999797</v>
      </c>
      <c r="C12" s="18">
        <f>IF(E12&gt;0,'4.8'!$Q$23,IF(E12&lt;=0,0))</f>
        <v>15427.67</v>
      </c>
      <c r="D12" s="19">
        <f>IF(E12&gt;0,'4.8'!$O$26,IF(E12&lt;=0,0))</f>
        <v>498.960000000001</v>
      </c>
      <c r="E12" s="17">
        <f>'4.8'!$A$11</f>
        <v>68237.440000000002</v>
      </c>
      <c r="F12" s="18">
        <f>'4.8'!$D$6+'4.8'!$AI$6+'4.8'!$AI$9+'4.8'!$AI$12</f>
        <v>7385.56</v>
      </c>
      <c r="G12" s="18">
        <f>'4.8'!$C$7</f>
        <v>22151</v>
      </c>
      <c r="H12" s="18">
        <f>'4.8'!$D$7</f>
        <v>0</v>
      </c>
      <c r="I12" s="18">
        <f>'4.8'!$C$8</f>
        <v>301.5</v>
      </c>
      <c r="J12" s="18">
        <f>'4.8'!$D$8</f>
        <v>0</v>
      </c>
      <c r="K12" s="19">
        <f>'4.8'!$H$9+'4.8'!$G$9+'4.8'!$T$9+'4.8'!$AE$9</f>
        <v>125.4</v>
      </c>
      <c r="L12" s="17">
        <f>IF(E12&gt;0,'4.8'!$P$9,IF(E12&lt;=0,0))</f>
        <v>51567.370000000097</v>
      </c>
      <c r="M12" s="18">
        <f>'4.8'!$AR$8</f>
        <v>497316.48</v>
      </c>
      <c r="N12" s="18">
        <f>'4.8'!$AR$10</f>
        <v>652145.93000000005</v>
      </c>
      <c r="O12" s="18">
        <f t="shared" si="0"/>
        <v>1149462.4099999999</v>
      </c>
      <c r="P12" s="18">
        <f>IF(E12&gt;0,('4.8'!$K$9+'4.8'!$U$9+'4.8'!$AF$9+'4.8'!$AK$6+'4.8'!$AK$9+'4.8'!$AK$12),IF(E12&lt;=0,0))</f>
        <v>3199.6800000000499</v>
      </c>
      <c r="Q12" s="18">
        <f>IF(E12&gt;0,'4.8'!$Z$9,IF(E12&lt;=0,0))</f>
        <v>732482.92</v>
      </c>
      <c r="R12" s="19">
        <f t="shared" si="1"/>
        <v>471746.54</v>
      </c>
      <c r="S12" s="17">
        <f>'4.8'!$S$19</f>
        <v>34363</v>
      </c>
      <c r="T12" s="18">
        <f>'4.8'!$S$23</f>
        <v>18535</v>
      </c>
      <c r="U12" s="19">
        <f>'4.8'!$S$26</f>
        <v>4543.7</v>
      </c>
    </row>
    <row r="13" spans="1:21">
      <c r="A13" s="16">
        <v>9</v>
      </c>
      <c r="B13" s="17">
        <f>IF(E13&gt;0,'4.9'!$O$19,IF(E13&lt;=0,0))</f>
        <v>0</v>
      </c>
      <c r="C13" s="18">
        <f>IF(E13&gt;0,'4.9'!$Q$23,IF(E13&lt;=0,0))</f>
        <v>0</v>
      </c>
      <c r="D13" s="19">
        <f>IF(E13&gt;0,'4.9'!$O$26,IF(E13&lt;=0,0))</f>
        <v>0</v>
      </c>
      <c r="E13" s="17">
        <f>'4.9'!$A$11</f>
        <v>0</v>
      </c>
      <c r="F13" s="18">
        <f>'4.9'!$D$6+'4.9'!$AI$6+'4.9'!$AI$9+'4.9'!$AI$12</f>
        <v>233.4</v>
      </c>
      <c r="G13" s="18">
        <f>'4.9'!$C$7</f>
        <v>0</v>
      </c>
      <c r="H13" s="18">
        <f>'4.9'!$D$7</f>
        <v>0</v>
      </c>
      <c r="I13" s="18">
        <f>'4.9'!$C$8</f>
        <v>0</v>
      </c>
      <c r="J13" s="18">
        <f>'4.9'!$D$8</f>
        <v>0</v>
      </c>
      <c r="K13" s="19">
        <f>'4.9'!$H$9+'4.9'!$G$9+'4.9'!$T$9+'4.9'!$AE$9</f>
        <v>0</v>
      </c>
      <c r="L13" s="17">
        <f>IF(E13&gt;0,'4.9'!$P$9,IF(E13&lt;=0,0))</f>
        <v>0</v>
      </c>
      <c r="M13" s="18">
        <f>'4.9'!$AR$8</f>
        <v>0</v>
      </c>
      <c r="N13" s="18">
        <f>'4.9'!$AR$10</f>
        <v>0</v>
      </c>
      <c r="O13" s="18">
        <f t="shared" si="0"/>
        <v>0</v>
      </c>
      <c r="P13" s="18">
        <f>IF(E13&gt;0,('4.9'!$K$9+'4.9'!$U$9+'4.9'!$AF$9+'4.9'!$AK$6+'4.9'!$AK$9+'4.9'!$AK$12),IF(E13&lt;=0,0))</f>
        <v>0</v>
      </c>
      <c r="Q13" s="18">
        <f>IF(E13&gt;0,'4.9'!$Z$9,IF(E13&lt;=0,0))</f>
        <v>0</v>
      </c>
      <c r="R13" s="19">
        <f t="shared" si="1"/>
        <v>0</v>
      </c>
      <c r="S13" s="17">
        <f>'4.9'!$S$19</f>
        <v>0</v>
      </c>
      <c r="T13" s="18">
        <f>'4.9'!$S$23</f>
        <v>0</v>
      </c>
      <c r="U13" s="19">
        <f>'4.9'!$S$26</f>
        <v>0</v>
      </c>
    </row>
    <row r="14" spans="1:21">
      <c r="A14" s="16">
        <v>10</v>
      </c>
      <c r="B14" s="17">
        <f>IF(E14&gt;0,'4.10'!$O$19,IF(E14&lt;=0,0))</f>
        <v>0</v>
      </c>
      <c r="C14" s="18">
        <f>IF(E14&gt;0,'4.10'!$Q$23,IF(E14&lt;=0,0))</f>
        <v>0</v>
      </c>
      <c r="D14" s="19">
        <f>IF(E14&gt;0,'4.10'!$O$26,IF(E14&lt;=0,0))</f>
        <v>0</v>
      </c>
      <c r="E14" s="17">
        <f>'4.10'!$A$11</f>
        <v>0</v>
      </c>
      <c r="F14" s="18">
        <f>'4.10'!$D$6+'4.10'!$AI$6+'4.10'!$AI$9+'4.10'!$AI$12</f>
        <v>0</v>
      </c>
      <c r="G14" s="18">
        <f>'4.10'!$C$7</f>
        <v>0</v>
      </c>
      <c r="H14" s="18">
        <f>'4.10'!$D$7</f>
        <v>0</v>
      </c>
      <c r="I14" s="18">
        <f>'4.10'!$C$8</f>
        <v>0</v>
      </c>
      <c r="J14" s="18">
        <f>'4.10'!$D$8</f>
        <v>0</v>
      </c>
      <c r="K14" s="19">
        <f>'4.10'!$H$9+'4.10'!$G$9+'4.10'!$T$9+'4.10'!$AE$9</f>
        <v>0</v>
      </c>
      <c r="L14" s="17">
        <f>IF(E14&gt;0,'4.10'!$P$9,IF(E14&lt;=0,0))</f>
        <v>0</v>
      </c>
      <c r="M14" s="18">
        <f>'4.10'!$AR$8</f>
        <v>0</v>
      </c>
      <c r="N14" s="18">
        <f>'4.10'!$AR$10</f>
        <v>0</v>
      </c>
      <c r="O14" s="18">
        <f t="shared" si="0"/>
        <v>0</v>
      </c>
      <c r="P14" s="18">
        <f>IF(E14&gt;0,('4.10'!$K$9+'4.10'!$U$9+'4.10'!$AF$9+'4.10'!$AK$6+'4.10'!$AK$9+'4.10'!$AK$12),IF(E14&lt;=0,0))</f>
        <v>0</v>
      </c>
      <c r="Q14" s="18">
        <f>IF(E14&gt;0,'4.10'!$Z$9,IF(E14&lt;=0,0))</f>
        <v>0</v>
      </c>
      <c r="R14" s="19">
        <f t="shared" si="1"/>
        <v>0</v>
      </c>
      <c r="S14" s="17">
        <f>'4.10'!$S$19</f>
        <v>0</v>
      </c>
      <c r="T14" s="18">
        <f>'4.10'!$S$23</f>
        <v>0</v>
      </c>
      <c r="U14" s="19">
        <f>'4.10'!$S$26</f>
        <v>0</v>
      </c>
    </row>
    <row r="15" spans="1:21">
      <c r="A15" s="16">
        <v>11</v>
      </c>
      <c r="B15" s="17">
        <f>IF(E15&gt;0,'4.11'!$O$19,IF(E15&lt;=0,0))</f>
        <v>0</v>
      </c>
      <c r="C15" s="18">
        <f>IF(E15&gt;0,'4.11'!$Q$23,IF(E15&lt;=0,0))</f>
        <v>0</v>
      </c>
      <c r="D15" s="19">
        <f>IF(E15&gt;0,'4.11'!$O$26,IF(E15&lt;=0,0))</f>
        <v>0</v>
      </c>
      <c r="E15" s="17">
        <f>'4.11'!$A$11</f>
        <v>0</v>
      </c>
      <c r="F15" s="18">
        <f>'4.11'!$D$6+'4.11'!$AI$6+'4.11'!$AI$9+'4.11'!$AI$12</f>
        <v>0</v>
      </c>
      <c r="G15" s="18">
        <f>'4.11'!$C$7</f>
        <v>0</v>
      </c>
      <c r="H15" s="18">
        <f>'4.11'!$D$7</f>
        <v>0</v>
      </c>
      <c r="I15" s="18">
        <f>'4.11'!$C$8</f>
        <v>0</v>
      </c>
      <c r="J15" s="18">
        <f>'4.11'!$D$8</f>
        <v>0</v>
      </c>
      <c r="K15" s="19">
        <f>'4.11'!$H$9+'4.11'!$G$9+'4.11'!$T$9+'4.11'!$AE$9</f>
        <v>0</v>
      </c>
      <c r="L15" s="17">
        <f>IF(E15&gt;0,'4.11'!$P$9,IF(E15&lt;=0,0))</f>
        <v>0</v>
      </c>
      <c r="M15" s="18">
        <f>'4.11'!$AR$8</f>
        <v>0</v>
      </c>
      <c r="N15" s="18">
        <f>'4.11'!$AR$10</f>
        <v>0</v>
      </c>
      <c r="O15" s="18">
        <f t="shared" si="0"/>
        <v>0</v>
      </c>
      <c r="P15" s="18">
        <f>IF(E15&gt;0,('4.11'!$K$9+'4.11'!$U$9+'4.11'!$AF$9+'4.11'!$AK$6+'4.11'!$AK$9+'4.11'!$AK$12),IF(E15&lt;=0,0))</f>
        <v>0</v>
      </c>
      <c r="Q15" s="18">
        <f>IF(E15&gt;0,'4.11'!$Z$9,IF(E15&lt;=0,0))</f>
        <v>0</v>
      </c>
      <c r="R15" s="19">
        <f t="shared" si="1"/>
        <v>0</v>
      </c>
      <c r="S15" s="17">
        <f>'4.11'!$S$19</f>
        <v>0</v>
      </c>
      <c r="T15" s="18">
        <f>'4.11'!$S$23</f>
        <v>0</v>
      </c>
      <c r="U15" s="19">
        <f>'4.11'!$S$26</f>
        <v>0</v>
      </c>
    </row>
    <row r="16" spans="1:21">
      <c r="A16" s="16">
        <v>12</v>
      </c>
      <c r="B16" s="17">
        <f>IF(E16&gt;0,'4.12'!$O$19,IF(E16&lt;=0,0))</f>
        <v>0</v>
      </c>
      <c r="C16" s="18">
        <f>IF(E16&gt;0,'4.12'!$Q$23,IF(E16&lt;=0,0))</f>
        <v>0</v>
      </c>
      <c r="D16" s="19">
        <f>IF(E16&gt;0,'4.12'!$O$26,IF(E16&lt;=0,0))</f>
        <v>0</v>
      </c>
      <c r="E16" s="17">
        <f>'4.12'!$A$11</f>
        <v>0</v>
      </c>
      <c r="F16" s="18">
        <f>'4.12'!$D$6+'4.12'!$AI$6+'4.12'!$AI$9+'4.12'!$AI$12</f>
        <v>0</v>
      </c>
      <c r="G16" s="18">
        <f>'4.12'!$C$7</f>
        <v>0</v>
      </c>
      <c r="H16" s="18">
        <f>'4.12'!$D$7</f>
        <v>0</v>
      </c>
      <c r="I16" s="18">
        <f>'4.12'!$C$8</f>
        <v>0</v>
      </c>
      <c r="J16" s="18">
        <f>'4.12'!$D$8</f>
        <v>0</v>
      </c>
      <c r="K16" s="19">
        <f>'4.12'!$H$9+'4.12'!$G$9+'4.12'!$T$9+'4.12'!$AE$9</f>
        <v>0</v>
      </c>
      <c r="L16" s="17">
        <f>IF(E16&gt;0,'4.12'!$P$9,IF(E16&lt;=0,0))</f>
        <v>0</v>
      </c>
      <c r="M16" s="18">
        <f>'4.12'!$AR$8</f>
        <v>0</v>
      </c>
      <c r="N16" s="18">
        <f>'4.12'!$AR$10</f>
        <v>0</v>
      </c>
      <c r="O16" s="18">
        <f t="shared" si="0"/>
        <v>0</v>
      </c>
      <c r="P16" s="18">
        <f>IF(E16&gt;0,('4.12'!$K$9+'4.12'!$U$9+'4.12'!$AF$9+'4.12'!$AK$6+'4.12'!$AK$9+'4.12'!$AK$12),IF(E16&lt;=0,0))</f>
        <v>0</v>
      </c>
      <c r="Q16" s="18">
        <f>IF(E16&gt;0,'4.12'!$Z$9,IF(E16&lt;=0,0))</f>
        <v>0</v>
      </c>
      <c r="R16" s="19">
        <f t="shared" si="1"/>
        <v>0</v>
      </c>
      <c r="S16" s="17">
        <f>'4.12'!$S$19</f>
        <v>0</v>
      </c>
      <c r="T16" s="18">
        <f>'4.12'!$S$23</f>
        <v>0</v>
      </c>
      <c r="U16" s="19">
        <f>'4.12'!$S$26</f>
        <v>0</v>
      </c>
    </row>
    <row r="17" spans="1:21">
      <c r="A17" s="16">
        <v>13</v>
      </c>
      <c r="B17" s="17">
        <f>IF(E17&gt;0,'4.13'!$O$19,IF(E17&lt;=0,0))</f>
        <v>0</v>
      </c>
      <c r="C17" s="18">
        <f>IF(E17&gt;0,'4.13'!$Q$23,IF(E17&lt;=0,0))</f>
        <v>0</v>
      </c>
      <c r="D17" s="19">
        <f>IF(E17&gt;0,'4.13'!$O$26,IF(E17&lt;=0,0))</f>
        <v>0</v>
      </c>
      <c r="E17" s="17">
        <f>'4.13'!$A$11</f>
        <v>0</v>
      </c>
      <c r="F17" s="18">
        <f>'4.13'!$D$6+'4.13'!$AI$6+'4.13'!$AI$9+'4.13'!$AI$12</f>
        <v>0</v>
      </c>
      <c r="G17" s="18">
        <f>'4.13'!$C$7</f>
        <v>0</v>
      </c>
      <c r="H17" s="18">
        <f>'4.13'!$D$7</f>
        <v>0</v>
      </c>
      <c r="I17" s="18">
        <f>'4.13'!$C$8</f>
        <v>0</v>
      </c>
      <c r="J17" s="18">
        <f>'4.13'!$D$8</f>
        <v>0</v>
      </c>
      <c r="K17" s="19">
        <f>'4.13'!$H$9+'4.13'!$G$9+'4.13'!$T$9+'4.13'!$AE$9</f>
        <v>0</v>
      </c>
      <c r="L17" s="17">
        <f>IF(E17&gt;0,'4.13'!$P$9,IF(E17&lt;=0,0))</f>
        <v>0</v>
      </c>
      <c r="M17" s="18">
        <f>'4.13'!$AR$8</f>
        <v>0</v>
      </c>
      <c r="N17" s="18">
        <f>'4.13'!$AR$10</f>
        <v>0</v>
      </c>
      <c r="O17" s="18">
        <f t="shared" si="0"/>
        <v>0</v>
      </c>
      <c r="P17" s="18">
        <f>IF(E17&gt;0,('4.13'!$K$9+'4.13'!$U$9+'4.13'!$AF$9+'4.13'!$AK$6+'4.13'!$AK$9+'4.13'!$AK$12),IF(E17&lt;=0,0))</f>
        <v>0</v>
      </c>
      <c r="Q17" s="18">
        <f>IF(E17&gt;0,'4.13'!$Z$9,IF(E17&lt;=0,0))</f>
        <v>0</v>
      </c>
      <c r="R17" s="19">
        <f t="shared" si="1"/>
        <v>0</v>
      </c>
      <c r="S17" s="17">
        <f>'4.13'!$S$19</f>
        <v>0</v>
      </c>
      <c r="T17" s="18">
        <f>'4.13'!$S$23</f>
        <v>0</v>
      </c>
      <c r="U17" s="19">
        <f>'4.13'!$S$26</f>
        <v>0</v>
      </c>
    </row>
    <row r="18" spans="1:21">
      <c r="A18" s="16">
        <v>14</v>
      </c>
      <c r="B18" s="17">
        <f>IF(E18&gt;0,'4.14'!$O$19,IF(E18&lt;=0,0))</f>
        <v>0</v>
      </c>
      <c r="C18" s="18">
        <f>IF(E18&gt;0,'4.14'!$Q$23,IF(E18&lt;=0,0))</f>
        <v>0</v>
      </c>
      <c r="D18" s="19">
        <f>IF(E18&gt;0,'4.14'!$O$26,IF(E18&lt;=0,0))</f>
        <v>0</v>
      </c>
      <c r="E18" s="17">
        <f>'4.14'!$A$11</f>
        <v>0</v>
      </c>
      <c r="F18" s="18">
        <f>'4.14'!$D$6+'4.14'!$AI$6+'4.14'!$AI$9+'4.14'!$AI$12</f>
        <v>0</v>
      </c>
      <c r="G18" s="18">
        <f>'4.14'!$C$7</f>
        <v>0</v>
      </c>
      <c r="H18" s="18">
        <f>'4.14'!$D$7</f>
        <v>0</v>
      </c>
      <c r="I18" s="18">
        <f>'4.14'!$C$8</f>
        <v>0</v>
      </c>
      <c r="J18" s="18">
        <f>'4.14'!$D$8</f>
        <v>0</v>
      </c>
      <c r="K18" s="19">
        <f>'4.14'!$H$9+'4.14'!$G$9+'4.14'!$T$9+'4.14'!$AE$9</f>
        <v>0</v>
      </c>
      <c r="L18" s="17">
        <f>IF(E18&gt;0,'4.14'!$P$9,IF(E18&lt;=0,0))</f>
        <v>0</v>
      </c>
      <c r="M18" s="18">
        <f>'4.14'!$AR$8</f>
        <v>0</v>
      </c>
      <c r="N18" s="18">
        <f>'4.14'!$AR$10</f>
        <v>0</v>
      </c>
      <c r="O18" s="18">
        <f t="shared" si="0"/>
        <v>0</v>
      </c>
      <c r="P18" s="18">
        <f>IF(E18&gt;0,('4.14'!$K$9+'4.14'!$U$9+'4.14'!$AF$9+'4.14'!$AK$6+'4.14'!$AK$9+'4.14'!$AK$12),IF(E18&lt;=0,0))</f>
        <v>0</v>
      </c>
      <c r="Q18" s="18">
        <f>IF(E18&gt;0,'4.14'!$Z$9,IF(E18&lt;=0,0))</f>
        <v>0</v>
      </c>
      <c r="R18" s="19">
        <f t="shared" si="1"/>
        <v>0</v>
      </c>
      <c r="S18" s="17">
        <f>'4.14'!$S$19</f>
        <v>0</v>
      </c>
      <c r="T18" s="18">
        <f>'4.14'!$S$23</f>
        <v>0</v>
      </c>
      <c r="U18" s="19">
        <f>'4.14'!$S$26</f>
        <v>0</v>
      </c>
    </row>
    <row r="19" spans="1:21">
      <c r="A19" s="16">
        <v>15</v>
      </c>
      <c r="B19" s="17">
        <f>IF(E19&gt;0,'4.15'!$O$19,IF(E19&lt;=0,0))</f>
        <v>0</v>
      </c>
      <c r="C19" s="18">
        <f>IF(E19&gt;0,'4.15'!$Q$23,IF(E19&lt;=0,0))</f>
        <v>0</v>
      </c>
      <c r="D19" s="19">
        <f>IF(E19&gt;0,'4.15'!$O$26,IF(E19&lt;=0,0))</f>
        <v>0</v>
      </c>
      <c r="E19" s="17">
        <f>'4.15'!$A$11</f>
        <v>0</v>
      </c>
      <c r="F19" s="18">
        <f>'4.15'!$D$6+'4.15'!$AI$6+'4.15'!$AI$9+'4.15'!$AI$12</f>
        <v>0</v>
      </c>
      <c r="G19" s="18">
        <f>'4.15'!$C$7</f>
        <v>0</v>
      </c>
      <c r="H19" s="18">
        <f>'4.15'!$D$7</f>
        <v>0</v>
      </c>
      <c r="I19" s="18">
        <f>'4.15'!$C$8</f>
        <v>0</v>
      </c>
      <c r="J19" s="18">
        <f>'4.15'!$D$8</f>
        <v>0</v>
      </c>
      <c r="K19" s="19">
        <f>'4.15'!$H$9+'4.15'!$G$9+'4.15'!$T$9+'4.15'!$AE$9</f>
        <v>0</v>
      </c>
      <c r="L19" s="17">
        <f>IF(E19&gt;0,'4.15'!$P$9,IF(E19&lt;=0,0))</f>
        <v>0</v>
      </c>
      <c r="M19" s="18">
        <f>'4.15'!$AR$8</f>
        <v>0</v>
      </c>
      <c r="N19" s="18">
        <f>'4.15'!$AR$10</f>
        <v>0</v>
      </c>
      <c r="O19" s="18">
        <f t="shared" si="0"/>
        <v>0</v>
      </c>
      <c r="P19" s="18">
        <f>IF(E19&gt;0,('4.15'!$K$9+'4.15'!$U$9+'4.15'!$AF$9+'4.15'!$AK$6+'4.15'!$AK$9+'4.15'!$AK$12),IF(E19&lt;=0,0))</f>
        <v>0</v>
      </c>
      <c r="Q19" s="18">
        <f>IF(E19&gt;0,'4.15'!$Z$9,IF(E19&lt;=0,0))</f>
        <v>0</v>
      </c>
      <c r="R19" s="19">
        <f t="shared" si="1"/>
        <v>0</v>
      </c>
      <c r="S19" s="17">
        <f>'4.15'!$S$19</f>
        <v>0</v>
      </c>
      <c r="T19" s="18">
        <f>'4.15'!$S$23</f>
        <v>0</v>
      </c>
      <c r="U19" s="19">
        <f>'4.15'!$S$26</f>
        <v>0</v>
      </c>
    </row>
    <row r="20" spans="1:21">
      <c r="A20" s="16">
        <v>16</v>
      </c>
      <c r="B20" s="17">
        <f>IF(E20&gt;0,'4.16'!$O$19,IF(E20&lt;=0,0))</f>
        <v>0</v>
      </c>
      <c r="C20" s="18">
        <f>IF(E20&gt;0,'4.16'!$Q$23,IF(E20&lt;=0,0))</f>
        <v>0</v>
      </c>
      <c r="D20" s="19">
        <f>IF(E20&gt;0,'4.16'!$O$26,IF(E20&lt;=0,0))</f>
        <v>0</v>
      </c>
      <c r="E20" s="17">
        <f>'4.16'!$A$11</f>
        <v>0</v>
      </c>
      <c r="F20" s="18">
        <f>'4.16'!$D$6+'4.16'!$AI$6+'4.16'!$AI$9+'4.16'!$AI$12</f>
        <v>0</v>
      </c>
      <c r="G20" s="18">
        <f>'4.16'!$C$7</f>
        <v>0</v>
      </c>
      <c r="H20" s="18">
        <f>'4.16'!$D$7</f>
        <v>0</v>
      </c>
      <c r="I20" s="18">
        <f>'4.16'!$C$8</f>
        <v>0</v>
      </c>
      <c r="J20" s="18">
        <f>'4.16'!$D$8</f>
        <v>0</v>
      </c>
      <c r="K20" s="19">
        <f>'4.16'!$H$9+'4.16'!$G$9+'4.16'!$T$9+'4.16'!$AE$9</f>
        <v>0</v>
      </c>
      <c r="L20" s="17">
        <f>IF(E20&gt;0,'4.16'!$P$9,IF(E20&lt;=0,0))</f>
        <v>0</v>
      </c>
      <c r="M20" s="18">
        <f>'4.16'!$AR$8</f>
        <v>0</v>
      </c>
      <c r="N20" s="18">
        <f>'4.16'!$AR$10</f>
        <v>0</v>
      </c>
      <c r="O20" s="18">
        <f t="shared" si="0"/>
        <v>0</v>
      </c>
      <c r="P20" s="18">
        <f>IF(E20&gt;0,('4.16'!$K$9+'4.16'!$U$9+'4.16'!$AF$9+'4.16'!$AK$6+'4.16'!$AK$9+'4.16'!$AK$12),IF(E20&lt;=0,0))</f>
        <v>0</v>
      </c>
      <c r="Q20" s="18">
        <f>IF(E20&gt;0,'4.16'!$Z$9,IF(E20&lt;=0,0))</f>
        <v>0</v>
      </c>
      <c r="R20" s="19">
        <f t="shared" si="1"/>
        <v>0</v>
      </c>
      <c r="S20" s="17">
        <f>'4.16'!$S$19</f>
        <v>0</v>
      </c>
      <c r="T20" s="18">
        <f>'4.16'!$S$23</f>
        <v>0</v>
      </c>
      <c r="U20" s="19">
        <f>'4.16'!$S$26</f>
        <v>0</v>
      </c>
    </row>
    <row r="21" spans="1:21">
      <c r="A21" s="16">
        <v>17</v>
      </c>
      <c r="B21" s="17">
        <f>IF(E21&gt;0,'4.17'!$O$19,IF(E21&lt;=0,0))</f>
        <v>0</v>
      </c>
      <c r="C21" s="18">
        <f>IF(E21&gt;0,'4.17'!$Q$23,IF(E21&lt;=0,0))</f>
        <v>0</v>
      </c>
      <c r="D21" s="19">
        <f>IF(E21&gt;0,'4.17'!$O$26,IF(E21&lt;=0,0))</f>
        <v>0</v>
      </c>
      <c r="E21" s="17">
        <f>'4.17'!$A$11</f>
        <v>0</v>
      </c>
      <c r="F21" s="18">
        <f>'4.17'!$D$6+'4.17'!$AI$6+'4.17'!$AI$9+'4.17'!$AI$12</f>
        <v>0</v>
      </c>
      <c r="G21" s="18">
        <f>'4.17'!$C$7</f>
        <v>0</v>
      </c>
      <c r="H21" s="18">
        <f>'4.17'!$D$7</f>
        <v>0</v>
      </c>
      <c r="I21" s="18">
        <f>'4.17'!$C$8</f>
        <v>0</v>
      </c>
      <c r="J21" s="18">
        <f>'4.17'!$D$8</f>
        <v>0</v>
      </c>
      <c r="K21" s="19">
        <f>'4.17'!$H$9+'4.17'!$G$9+'4.17'!$T$9+'4.17'!$AE$9</f>
        <v>0</v>
      </c>
      <c r="L21" s="17">
        <f>IF(E21&gt;0,'4.17'!$P$9,IF(E21&lt;=0,0))</f>
        <v>0</v>
      </c>
      <c r="M21" s="18">
        <f>'4.17'!$AR$8</f>
        <v>0</v>
      </c>
      <c r="N21" s="18">
        <f>'4.17'!$AR$10</f>
        <v>0</v>
      </c>
      <c r="O21" s="18">
        <f t="shared" si="0"/>
        <v>0</v>
      </c>
      <c r="P21" s="18">
        <f>IF(E21&gt;0,('4.17'!$K$9+'4.17'!$U$9+'4.17'!$AF$9+'4.17'!$AK$6+'4.17'!$AK$9+'4.17'!$AK$12),IF(E21&lt;=0,0))</f>
        <v>0</v>
      </c>
      <c r="Q21" s="18">
        <f>IF(E21&gt;0,'4.17'!$Z$9,IF(E21&lt;=0,0))</f>
        <v>0</v>
      </c>
      <c r="R21" s="19">
        <f t="shared" si="1"/>
        <v>0</v>
      </c>
      <c r="S21" s="17">
        <f>'4.17'!$S$19</f>
        <v>0</v>
      </c>
      <c r="T21" s="18">
        <f>'4.17'!$S$23</f>
        <v>0</v>
      </c>
      <c r="U21" s="19">
        <f>'4.17'!$S$26</f>
        <v>0</v>
      </c>
    </row>
    <row r="22" spans="1:21">
      <c r="A22" s="16">
        <v>18</v>
      </c>
      <c r="B22" s="17">
        <f>IF(E22&gt;0,'4.18'!$O$19,IF(E22&lt;=0,0))</f>
        <v>0</v>
      </c>
      <c r="C22" s="18">
        <f>IF(E22&gt;0,'4.18'!$Q$23,IF(E22&lt;=0,0))</f>
        <v>0</v>
      </c>
      <c r="D22" s="19">
        <f>IF(E22&gt;0,'4.18'!$O$26,IF(E22&lt;=0,0))</f>
        <v>0</v>
      </c>
      <c r="E22" s="17">
        <f>'4.18'!$A$11</f>
        <v>0</v>
      </c>
      <c r="F22" s="18">
        <f>'4.18'!$D$6+'4.18'!$AI$6+'4.18'!$AI$9+'4.18'!$AI$12</f>
        <v>0</v>
      </c>
      <c r="G22" s="18">
        <f>'4.18'!$C$7</f>
        <v>0</v>
      </c>
      <c r="H22" s="18">
        <f>'4.18'!$D$7</f>
        <v>0</v>
      </c>
      <c r="I22" s="18">
        <f>'4.18'!$C$8</f>
        <v>0</v>
      </c>
      <c r="J22" s="18">
        <f>'4.18'!$D$8</f>
        <v>0</v>
      </c>
      <c r="K22" s="19">
        <f>'4.18'!$H$9+'4.18'!$G$9+'4.18'!$T$9+'4.18'!$AE$9</f>
        <v>0</v>
      </c>
      <c r="L22" s="17">
        <f>IF(E22&gt;0,'4.18'!$P$9,IF(E22&lt;=0,0))</f>
        <v>0</v>
      </c>
      <c r="M22" s="18">
        <f>'4.18'!$AR$8</f>
        <v>0</v>
      </c>
      <c r="N22" s="18">
        <f>'4.18'!$AR$10</f>
        <v>0</v>
      </c>
      <c r="O22" s="18">
        <f t="shared" si="0"/>
        <v>0</v>
      </c>
      <c r="P22" s="18">
        <f>IF(E22&gt;0,('4.18'!$K$9+'4.18'!$U$9+'4.18'!$AF$9+'4.18'!$AK$6+'4.18'!$AK$9+'4.18'!$AK$12),IF(E22&lt;=0,0))</f>
        <v>0</v>
      </c>
      <c r="Q22" s="18">
        <f>IF(E22&gt;0,'4.18'!$Z$9,IF(E22&lt;=0,0))</f>
        <v>0</v>
      </c>
      <c r="R22" s="19">
        <f t="shared" si="1"/>
        <v>0</v>
      </c>
      <c r="S22" s="17">
        <f>'4.18'!$S$19</f>
        <v>0</v>
      </c>
      <c r="T22" s="18">
        <f>'4.18'!$S$23</f>
        <v>0</v>
      </c>
      <c r="U22" s="19">
        <f>'4.18'!$S$26</f>
        <v>0</v>
      </c>
    </row>
    <row r="23" spans="1:21">
      <c r="A23" s="16">
        <v>19</v>
      </c>
      <c r="B23" s="17">
        <f>IF(E23&gt;0,'4.19'!$O$19,IF(E23&lt;=0,0))</f>
        <v>0</v>
      </c>
      <c r="C23" s="18">
        <f>IF(E23&gt;0,'4.19'!$Q$23,IF(E23&lt;=0,0))</f>
        <v>0</v>
      </c>
      <c r="D23" s="19">
        <f>IF(E23&gt;0,'4.19'!$O$26,IF(E23&lt;=0,0))</f>
        <v>0</v>
      </c>
      <c r="E23" s="17">
        <f>'4.19'!$A$11</f>
        <v>0</v>
      </c>
      <c r="F23" s="18">
        <f>'4.19'!$D$6+'4.19'!$AI$6+'4.19'!$AI$9+'4.19'!$AI$12</f>
        <v>0</v>
      </c>
      <c r="G23" s="18">
        <f>'4.19'!$C$7</f>
        <v>0</v>
      </c>
      <c r="H23" s="18">
        <f>'4.19'!$D$7</f>
        <v>0</v>
      </c>
      <c r="I23" s="18">
        <f>'4.19'!$C$8</f>
        <v>0</v>
      </c>
      <c r="J23" s="18">
        <f>'4.19'!$D$8</f>
        <v>0</v>
      </c>
      <c r="K23" s="19">
        <f>'4.19'!$H$9+'4.19'!$G$9+'4.19'!$T$9+'4.19'!$AE$9</f>
        <v>0</v>
      </c>
      <c r="L23" s="17">
        <f>IF(E23&gt;0,'4.19'!$P$9,IF(E23&lt;=0,0))</f>
        <v>0</v>
      </c>
      <c r="M23" s="18">
        <f>'4.19'!$AR$8</f>
        <v>0</v>
      </c>
      <c r="N23" s="18">
        <f>'4.19'!$AR$10</f>
        <v>0</v>
      </c>
      <c r="O23" s="18">
        <f t="shared" si="0"/>
        <v>0</v>
      </c>
      <c r="P23" s="18">
        <f>IF(E23&gt;0,('4.19'!$K$9+'4.19'!$U$9+'4.19'!$AF$9+'4.19'!$AK$6+'4.19'!$AK$9+'4.19'!$AK$12),IF(E23&lt;=0,0))</f>
        <v>0</v>
      </c>
      <c r="Q23" s="18">
        <f>IF(E23&gt;0,'4.19'!$Z$9,IF(E23&lt;=0,0))</f>
        <v>0</v>
      </c>
      <c r="R23" s="19">
        <f t="shared" si="1"/>
        <v>0</v>
      </c>
      <c r="S23" s="17">
        <f>'4.19'!$S$19</f>
        <v>0</v>
      </c>
      <c r="T23" s="18">
        <f>'4.19'!$S$23</f>
        <v>0</v>
      </c>
      <c r="U23" s="19">
        <f>'4.19'!$S$26</f>
        <v>0</v>
      </c>
    </row>
    <row r="24" spans="1:21">
      <c r="A24" s="16">
        <v>20</v>
      </c>
      <c r="B24" s="17">
        <f>IF(E24&gt;0,'4.20'!$O$19,IF(E24&lt;=0,0))</f>
        <v>0</v>
      </c>
      <c r="C24" s="18">
        <f>IF(E24&gt;0,'4.20'!$Q$23,IF(E24&lt;=0,0))</f>
        <v>0</v>
      </c>
      <c r="D24" s="19">
        <f>IF(E24&gt;0,'4.20'!$O$26,IF(E24&lt;=0,0))</f>
        <v>0</v>
      </c>
      <c r="E24" s="17">
        <f>'4.20'!$A$11</f>
        <v>0</v>
      </c>
      <c r="F24" s="18">
        <f>'4.20'!$D$6+'4.20'!$AI$6+'4.20'!$AI$9+'4.20'!$AI$12</f>
        <v>0</v>
      </c>
      <c r="G24" s="18">
        <f>'4.20'!$C$7</f>
        <v>0</v>
      </c>
      <c r="H24" s="18">
        <f>'4.20'!$D$7</f>
        <v>0</v>
      </c>
      <c r="I24" s="18">
        <f>'4.20'!$C$8</f>
        <v>0</v>
      </c>
      <c r="J24" s="18">
        <f>'4.20'!$D$8</f>
        <v>0</v>
      </c>
      <c r="K24" s="19">
        <f>'4.20'!$H$9+'4.20'!$G$9+'4.20'!$T$9+'4.20'!$AE$9</f>
        <v>0</v>
      </c>
      <c r="L24" s="17">
        <f>IF(E24&gt;0,'4.20'!$P$9,IF(E24&lt;=0,0))</f>
        <v>0</v>
      </c>
      <c r="M24" s="18">
        <f>'4.20'!$AR$8</f>
        <v>0</v>
      </c>
      <c r="N24" s="18">
        <f>'4.20'!$AR$10</f>
        <v>0</v>
      </c>
      <c r="O24" s="18">
        <f t="shared" si="0"/>
        <v>0</v>
      </c>
      <c r="P24" s="18">
        <f>IF(E24&gt;0,('4.20'!$K$9+'4.20'!$U$9+'4.20'!$AF$9+'4.20'!$AK$6+'4.20'!$AK$9+'4.20'!$AK$12),IF(E24&lt;=0,0))</f>
        <v>0</v>
      </c>
      <c r="Q24" s="18">
        <f>IF(E24&gt;0,'4.20'!$Z$9,IF(E24&lt;=0,0))</f>
        <v>0</v>
      </c>
      <c r="R24" s="19">
        <f t="shared" si="1"/>
        <v>0</v>
      </c>
      <c r="S24" s="17">
        <f>'4.20'!$S$19</f>
        <v>0</v>
      </c>
      <c r="T24" s="18">
        <f>'4.20'!$S$23</f>
        <v>0</v>
      </c>
      <c r="U24" s="19">
        <f>'4.20'!$S$26</f>
        <v>0</v>
      </c>
    </row>
    <row r="25" spans="1:21">
      <c r="A25" s="16">
        <v>21</v>
      </c>
      <c r="B25" s="17">
        <f>IF(E25&gt;0,'4.21'!$O$19,IF(E25&lt;=0,0))</f>
        <v>0</v>
      </c>
      <c r="C25" s="18">
        <f>IF(E25&gt;0,'4.21'!$Q$23,IF(E25&lt;=0,0))</f>
        <v>0</v>
      </c>
      <c r="D25" s="19">
        <f>IF(E25&gt;0,'4.21'!$O$26,IF(E25&lt;=0,0))</f>
        <v>0</v>
      </c>
      <c r="E25" s="17">
        <f>'4.21'!$A$11</f>
        <v>0</v>
      </c>
      <c r="F25" s="18">
        <f>'4.21'!$D$6+'4.21'!$AI$6+'4.21'!$AI$9+'4.21'!$AI$12</f>
        <v>0</v>
      </c>
      <c r="G25" s="18">
        <f>'4.21'!$C$7</f>
        <v>0</v>
      </c>
      <c r="H25" s="18">
        <f>'4.21'!$D$7</f>
        <v>0</v>
      </c>
      <c r="I25" s="18">
        <f>'4.21'!$C$8</f>
        <v>0</v>
      </c>
      <c r="J25" s="18">
        <f>'4.21'!$D$8</f>
        <v>0</v>
      </c>
      <c r="K25" s="19">
        <f>'4.21'!$H$9+'4.21'!$G$9+'4.21'!$T$9+'4.21'!$AE$9</f>
        <v>0</v>
      </c>
      <c r="L25" s="17">
        <f>IF(E25&gt;0,'4.21'!$P$9,IF(E25&lt;=0,0))</f>
        <v>0</v>
      </c>
      <c r="M25" s="18">
        <f>'4.21'!$AR$8</f>
        <v>0</v>
      </c>
      <c r="N25" s="18">
        <f>'4.21'!$AR$10</f>
        <v>0</v>
      </c>
      <c r="O25" s="18">
        <f t="shared" si="0"/>
        <v>0</v>
      </c>
      <c r="P25" s="18">
        <f>IF(E25&gt;0,('4.21'!$K$9+'4.21'!$U$9+'4.21'!$AF$9+'4.21'!$AK$6+'4.21'!$AK$9+'4.21'!$AK$12),IF(E25&lt;=0,0))</f>
        <v>0</v>
      </c>
      <c r="Q25" s="18">
        <f>IF(E25&gt;0,'4.21'!$Z$9,IF(E25&lt;=0,0))</f>
        <v>0</v>
      </c>
      <c r="R25" s="19">
        <f t="shared" si="1"/>
        <v>0</v>
      </c>
      <c r="S25" s="17">
        <f>'4.21'!$S$19</f>
        <v>0</v>
      </c>
      <c r="T25" s="18">
        <f>'4.21'!$S$23</f>
        <v>0</v>
      </c>
      <c r="U25" s="19">
        <f>'4.21'!$S$26</f>
        <v>0</v>
      </c>
    </row>
    <row r="26" spans="1:21">
      <c r="A26" s="16">
        <v>22</v>
      </c>
      <c r="B26" s="17">
        <f>IF(E26&gt;0,'4.22'!$O$19,IF(E26&lt;=0,0))</f>
        <v>0</v>
      </c>
      <c r="C26" s="18">
        <f>IF(E26&gt;0,'4.22'!$Q$23,IF(E26&lt;=0,0))</f>
        <v>0</v>
      </c>
      <c r="D26" s="19">
        <f>IF(E26&gt;0,'4.22'!$O$26,IF(E26&lt;=0,0))</f>
        <v>0</v>
      </c>
      <c r="E26" s="17">
        <f>'4.22'!$A$11</f>
        <v>0</v>
      </c>
      <c r="F26" s="18">
        <f>'4.22'!$D$6+'4.22'!$AI$6+'4.22'!$AI$9+'4.22'!$AI$12</f>
        <v>0</v>
      </c>
      <c r="G26" s="18">
        <f>'4.22'!$C$7</f>
        <v>0</v>
      </c>
      <c r="H26" s="18">
        <f>'4.22'!$D$7</f>
        <v>0</v>
      </c>
      <c r="I26" s="18">
        <f>'4.22'!$C$8</f>
        <v>0</v>
      </c>
      <c r="J26" s="18">
        <f>'4.22'!$D$8</f>
        <v>0</v>
      </c>
      <c r="K26" s="19">
        <f>'4.22'!$H$9+'4.22'!$G$9+'4.22'!$T$9+'4.22'!$AE$9</f>
        <v>0</v>
      </c>
      <c r="L26" s="17">
        <f>IF(E26&gt;0,'4.22'!$P$9,IF(E26&lt;=0,0))</f>
        <v>0</v>
      </c>
      <c r="M26" s="18">
        <f>'4.22'!$AR$8</f>
        <v>0</v>
      </c>
      <c r="N26" s="18">
        <f>'4.22'!$AR$10</f>
        <v>0</v>
      </c>
      <c r="O26" s="18">
        <f t="shared" si="0"/>
        <v>0</v>
      </c>
      <c r="P26" s="18">
        <f>IF(E26&gt;0,('4.22'!$K$9+'4.22'!$U$9+'4.22'!$AF$9+'4.22'!$AK$6+'4.22'!$AK$9+'4.22'!$AK$12),IF(E26&lt;=0,0))</f>
        <v>0</v>
      </c>
      <c r="Q26" s="18">
        <f>IF(E26&gt;0,'4.22'!$Z$9,IF(E26&lt;=0,0))</f>
        <v>0</v>
      </c>
      <c r="R26" s="19">
        <f t="shared" si="1"/>
        <v>0</v>
      </c>
      <c r="S26" s="17">
        <f>'4.22'!$S$19</f>
        <v>0</v>
      </c>
      <c r="T26" s="18">
        <f>'4.22'!$S$23</f>
        <v>0</v>
      </c>
      <c r="U26" s="19">
        <f>'4.22'!$S$26</f>
        <v>0</v>
      </c>
    </row>
    <row r="27" spans="1:21">
      <c r="A27" s="16">
        <v>23</v>
      </c>
      <c r="B27" s="17">
        <f>IF(E27&gt;0,'4.23'!$O$19,IF(E27&lt;=0,0))</f>
        <v>0</v>
      </c>
      <c r="C27" s="18">
        <f>IF(E27&gt;0,'4.23'!$Q$23,IF(E27&lt;=0,0))</f>
        <v>0</v>
      </c>
      <c r="D27" s="19">
        <f>IF(E27&gt;0,'4.23'!$O$26,IF(E27&lt;=0,0))</f>
        <v>0</v>
      </c>
      <c r="E27" s="17">
        <f>'4.23'!$A$11</f>
        <v>0</v>
      </c>
      <c r="F27" s="18">
        <f>'4.23'!$D$6+'4.23'!$AI$6+'4.23'!$AI$9+'4.23'!$AI$12</f>
        <v>0</v>
      </c>
      <c r="G27" s="18">
        <f>'4.23'!$C$7</f>
        <v>0</v>
      </c>
      <c r="H27" s="18">
        <f>'4.23'!$D$7</f>
        <v>0</v>
      </c>
      <c r="I27" s="18">
        <f>'4.23'!$C$8</f>
        <v>0</v>
      </c>
      <c r="J27" s="18">
        <f>'4.23'!$D$8</f>
        <v>0</v>
      </c>
      <c r="K27" s="19">
        <f>'4.23'!$H$9+'4.23'!$G$9+'4.23'!$T$9+'4.23'!$AE$9</f>
        <v>0</v>
      </c>
      <c r="L27" s="17">
        <f>IF(E27&gt;0,'4.23'!$P$9,IF(E27&lt;=0,0))</f>
        <v>0</v>
      </c>
      <c r="M27" s="18">
        <f>'4.23'!$AR$8</f>
        <v>0</v>
      </c>
      <c r="N27" s="18">
        <f>'4.23'!$AR$10</f>
        <v>0</v>
      </c>
      <c r="O27" s="18">
        <f t="shared" si="0"/>
        <v>0</v>
      </c>
      <c r="P27" s="18">
        <f>IF(E27&gt;0,('4.23'!$K$9+'4.23'!$U$9+'4.23'!$AF$9+'4.23'!$AK$6+'4.23'!$AK$9+'4.23'!$AK$12),IF(E27&lt;=0,0))</f>
        <v>0</v>
      </c>
      <c r="Q27" s="18">
        <f>IF(E27&gt;0,'4.23'!$Z$9,IF(E27&lt;=0,0))</f>
        <v>0</v>
      </c>
      <c r="R27" s="19">
        <f t="shared" si="1"/>
        <v>0</v>
      </c>
      <c r="S27" s="17">
        <f>'4.23'!$S$19</f>
        <v>0</v>
      </c>
      <c r="T27" s="18">
        <f>'4.23'!$S$23</f>
        <v>0</v>
      </c>
      <c r="U27" s="19">
        <f>'4.23'!$S$26</f>
        <v>0</v>
      </c>
    </row>
    <row r="28" spans="1:21">
      <c r="A28" s="16">
        <v>24</v>
      </c>
      <c r="B28" s="17">
        <f>IF(E28&gt;0,'4.24'!$O$19,IF(E28&lt;=0,0))</f>
        <v>0</v>
      </c>
      <c r="C28" s="18">
        <f>IF(E28&gt;0,'4.24'!$Q$23,IF(E28&lt;=0,0))</f>
        <v>0</v>
      </c>
      <c r="D28" s="19">
        <f>IF(E28&gt;0,'4.24'!$O$26,IF(E28&lt;=0,0))</f>
        <v>0</v>
      </c>
      <c r="E28" s="17">
        <f>'4.24'!$A$11</f>
        <v>0</v>
      </c>
      <c r="F28" s="18">
        <f>'4.24'!$D$6+'4.24'!$AI$6+'4.24'!$AI$9+'4.24'!$AI$12</f>
        <v>0</v>
      </c>
      <c r="G28" s="18">
        <f>'4.24'!$C$7</f>
        <v>0</v>
      </c>
      <c r="H28" s="18">
        <f>'4.24'!$D$7</f>
        <v>0</v>
      </c>
      <c r="I28" s="18">
        <f>'4.24'!$C$8</f>
        <v>0</v>
      </c>
      <c r="J28" s="18">
        <f>'4.24'!$D$8</f>
        <v>0</v>
      </c>
      <c r="K28" s="19">
        <f>'4.24'!$H$9+'4.24'!$G$9+'4.24'!$T$9+'4.24'!$AE$9</f>
        <v>0</v>
      </c>
      <c r="L28" s="17">
        <f>IF(E28&gt;0,'4.24'!$P$9,IF(E28&lt;=0,0))</f>
        <v>0</v>
      </c>
      <c r="M28" s="18">
        <f>'4.24'!$AR$8</f>
        <v>0</v>
      </c>
      <c r="N28" s="18">
        <f>'4.24'!$AR$10</f>
        <v>0</v>
      </c>
      <c r="O28" s="18">
        <f t="shared" si="0"/>
        <v>0</v>
      </c>
      <c r="P28" s="18">
        <f>IF(E28&gt;0,('4.24'!$K$9+'4.24'!$U$9+'4.24'!$AF$9+'4.24'!$AK$6+'4.24'!$AK$9+'4.24'!$AK$12),IF(E28&lt;=0,0))</f>
        <v>0</v>
      </c>
      <c r="Q28" s="18">
        <f>IF(E28&gt;0,'4.24'!$Z$9,IF(E28&lt;=0,0))</f>
        <v>0</v>
      </c>
      <c r="R28" s="19">
        <f t="shared" si="1"/>
        <v>0</v>
      </c>
      <c r="S28" s="17">
        <f>'4.24'!$S$19</f>
        <v>0</v>
      </c>
      <c r="T28" s="18">
        <f>'4.24'!$S$23</f>
        <v>0</v>
      </c>
      <c r="U28" s="19">
        <f>'4.24'!$S$26</f>
        <v>0</v>
      </c>
    </row>
    <row r="29" spans="1:21">
      <c r="A29" s="16">
        <v>25</v>
      </c>
      <c r="B29" s="17">
        <f>IF(E29&gt;0,'4.25'!$O$19,IF(E29&lt;=0,0))</f>
        <v>0</v>
      </c>
      <c r="C29" s="18">
        <f>IF(E29&gt;0,'4.25'!$Q$23,IF(E29&lt;=0,0))</f>
        <v>0</v>
      </c>
      <c r="D29" s="19">
        <f>IF(E29&gt;0,'4.25'!$O$26,IF(E29&lt;=0,0))</f>
        <v>0</v>
      </c>
      <c r="E29" s="17">
        <f>'4.25'!$A$11</f>
        <v>0</v>
      </c>
      <c r="F29" s="18">
        <f>'4.25'!$D$6+'4.25'!$AI$6+'4.25'!$AI$9+'4.25'!$AI$12</f>
        <v>0</v>
      </c>
      <c r="G29" s="18">
        <f>'4.25'!$C$7</f>
        <v>0</v>
      </c>
      <c r="H29" s="18">
        <f>'4.25'!$D$7</f>
        <v>0</v>
      </c>
      <c r="I29" s="18">
        <f>'4.25'!$C$8</f>
        <v>0</v>
      </c>
      <c r="J29" s="18">
        <f>'4.25'!$D$8</f>
        <v>0</v>
      </c>
      <c r="K29" s="19">
        <f>'4.25'!$H$9+'4.25'!$G$9+'4.25'!$T$9+'4.25'!$AE$9</f>
        <v>0</v>
      </c>
      <c r="L29" s="17">
        <f>IF(E29&gt;0,'4.25'!$P$9,IF(E29&lt;=0,0))</f>
        <v>0</v>
      </c>
      <c r="M29" s="18">
        <f>'4.25'!$AR$8</f>
        <v>0</v>
      </c>
      <c r="N29" s="18">
        <f>'4.25'!$AR$10</f>
        <v>0</v>
      </c>
      <c r="O29" s="18">
        <f t="shared" si="0"/>
        <v>0</v>
      </c>
      <c r="P29" s="18">
        <f>IF(E29&gt;0,('4.25'!$K$9+'4.25'!$U$9+'4.25'!$AF$9+'4.25'!$AK$6+'4.25'!$AK$9+'4.25'!$AK$12),IF(E29&lt;=0,0))</f>
        <v>0</v>
      </c>
      <c r="Q29" s="18">
        <f>IF(E29&gt;0,'4.25'!$Z$9,IF(E29&lt;=0,0))</f>
        <v>0</v>
      </c>
      <c r="R29" s="19">
        <f t="shared" si="1"/>
        <v>0</v>
      </c>
      <c r="S29" s="17">
        <f>'4.25'!$S$19</f>
        <v>0</v>
      </c>
      <c r="T29" s="18">
        <f>'4.25'!$S$23</f>
        <v>0</v>
      </c>
      <c r="U29" s="19">
        <f>'4.25'!$S$26</f>
        <v>0</v>
      </c>
    </row>
    <row r="30" spans="1:21">
      <c r="A30" s="16">
        <v>26</v>
      </c>
      <c r="B30" s="17">
        <f>IF(E30&gt;0,'4.26'!$O$19,IF(E30&lt;=0,0))</f>
        <v>0</v>
      </c>
      <c r="C30" s="18">
        <f>IF(E30&gt;0,'4.26'!$Q$23,IF(E30&lt;=0,0))</f>
        <v>0</v>
      </c>
      <c r="D30" s="19">
        <f>IF(E30&gt;0,'4.26'!$O$26,IF(E30&lt;=0,0))</f>
        <v>0</v>
      </c>
      <c r="E30" s="17">
        <f>'4.26'!$A$11</f>
        <v>0</v>
      </c>
      <c r="F30" s="18">
        <f>'4.26'!$D$6+'4.26'!$AI$6+'4.26'!$AI$9+'4.26'!$AI$12</f>
        <v>0</v>
      </c>
      <c r="G30" s="18">
        <f>'4.26'!$C$7</f>
        <v>0</v>
      </c>
      <c r="H30" s="18">
        <f>'4.26'!$D$7</f>
        <v>0</v>
      </c>
      <c r="I30" s="18">
        <f>'4.26'!$C$8</f>
        <v>0</v>
      </c>
      <c r="J30" s="18">
        <f>'4.26'!$D$8</f>
        <v>0</v>
      </c>
      <c r="K30" s="19">
        <f>'4.26'!$H$9+'4.26'!$G$9+'4.26'!$T$9+'4.26'!$AE$9</f>
        <v>0</v>
      </c>
      <c r="L30" s="17">
        <f>IF(E30&gt;0,'4.26'!$P$9,IF(E30&lt;=0,0))</f>
        <v>0</v>
      </c>
      <c r="M30" s="18">
        <f>'4.26'!$AR$8</f>
        <v>0</v>
      </c>
      <c r="N30" s="18">
        <f>'4.26'!$AR$10</f>
        <v>0</v>
      </c>
      <c r="O30" s="18">
        <f t="shared" si="0"/>
        <v>0</v>
      </c>
      <c r="P30" s="18">
        <f>IF(E30&gt;0,('4.26'!$K$9+'4.26'!$U$9+'4.26'!$AF$9+'4.26'!$AK$6+'4.26'!$AK$9+'4.26'!$AK$12),IF(E30&lt;=0,0))</f>
        <v>0</v>
      </c>
      <c r="Q30" s="18">
        <f>IF(E30&gt;0,'4.26'!$Z$9,IF(E30&lt;=0,0))</f>
        <v>0</v>
      </c>
      <c r="R30" s="19">
        <f t="shared" si="1"/>
        <v>0</v>
      </c>
      <c r="S30" s="17">
        <f>'4.26'!$S$19</f>
        <v>0</v>
      </c>
      <c r="T30" s="18">
        <f>'4.26'!$S$23</f>
        <v>0</v>
      </c>
      <c r="U30" s="19">
        <f>'4.26'!$S$26</f>
        <v>0</v>
      </c>
    </row>
    <row r="31" spans="1:21">
      <c r="A31" s="16">
        <v>27</v>
      </c>
      <c r="B31" s="17">
        <f>IF(E31&gt;0,'4.27'!$O$19,IF(E31&lt;=0,0))</f>
        <v>0</v>
      </c>
      <c r="C31" s="18">
        <f>IF(E31&gt;0,'4.27'!$Q$23,IF(E31&lt;=0,0))</f>
        <v>0</v>
      </c>
      <c r="D31" s="19">
        <f>IF(E31&gt;0,'4.27'!$O$26,IF(E31&lt;=0,0))</f>
        <v>0</v>
      </c>
      <c r="E31" s="17">
        <f>'4.27'!$A$11</f>
        <v>0</v>
      </c>
      <c r="F31" s="18">
        <f>'4.27'!$D$6+'4.27'!$AI$6+'4.27'!$AI$9+'4.27'!$AI$12</f>
        <v>0</v>
      </c>
      <c r="G31" s="18">
        <f>'4.27'!$C$7</f>
        <v>0</v>
      </c>
      <c r="H31" s="18">
        <f>'4.27'!$D$7</f>
        <v>0</v>
      </c>
      <c r="I31" s="18">
        <f>'4.27'!$C$8</f>
        <v>0</v>
      </c>
      <c r="J31" s="18">
        <f>'4.27'!$D$8</f>
        <v>0</v>
      </c>
      <c r="K31" s="19">
        <f>'4.27'!$H$9+'4.27'!$G$9+'4.27'!$T$9+'4.27'!$AE$9</f>
        <v>0</v>
      </c>
      <c r="L31" s="17">
        <f>IF(E31&gt;0,'4.27'!$P$9,IF(E31&lt;=0,0))</f>
        <v>0</v>
      </c>
      <c r="M31" s="18">
        <f>'4.27'!$AR$8</f>
        <v>0</v>
      </c>
      <c r="N31" s="18">
        <f>'4.27'!$AR$10</f>
        <v>0</v>
      </c>
      <c r="O31" s="18">
        <f t="shared" si="0"/>
        <v>0</v>
      </c>
      <c r="P31" s="18">
        <f>IF(E31&gt;0,('4.27'!$K$9+'4.27'!$U$9+'4.27'!$AF$9+'4.27'!$AK$6+'4.27'!$AK$9+'4.27'!$AK$12),IF(E31&lt;=0,0))</f>
        <v>0</v>
      </c>
      <c r="Q31" s="18">
        <f>IF(E31&gt;0,'4.27'!$Z$9,IF(E31&lt;=0,0))</f>
        <v>0</v>
      </c>
      <c r="R31" s="19">
        <f t="shared" si="1"/>
        <v>0</v>
      </c>
      <c r="S31" s="17">
        <f>'4.27'!$S$19</f>
        <v>0</v>
      </c>
      <c r="T31" s="18">
        <f>'4.27'!$S$23</f>
        <v>0</v>
      </c>
      <c r="U31" s="19">
        <f>'4.27'!$S$26</f>
        <v>0</v>
      </c>
    </row>
    <row r="32" spans="1:21">
      <c r="A32" s="16">
        <v>28</v>
      </c>
      <c r="B32" s="17">
        <f>IF(E32&gt;0,'4.28'!$O$19,IF(E32&lt;=0,0))</f>
        <v>0</v>
      </c>
      <c r="C32" s="18">
        <f>IF(E32&gt;0,'4.28'!$Q$23,IF(E32&lt;=0,0))</f>
        <v>0</v>
      </c>
      <c r="D32" s="19">
        <f>IF(E32&gt;0,'4.28'!$O$26,IF(E32&lt;=0,0))</f>
        <v>0</v>
      </c>
      <c r="E32" s="17">
        <f>'4.28'!$A$11</f>
        <v>0</v>
      </c>
      <c r="F32" s="18">
        <f>'4.28'!$D$6+'4.28'!$AI$6+'4.28'!$AI$9+'4.28'!$AI$12</f>
        <v>0</v>
      </c>
      <c r="G32" s="18">
        <f>'4.28'!$C$7</f>
        <v>0</v>
      </c>
      <c r="H32" s="18">
        <f>'4.28'!$D$7</f>
        <v>0</v>
      </c>
      <c r="I32" s="18">
        <f>'4.28'!$C$8</f>
        <v>0</v>
      </c>
      <c r="J32" s="18">
        <f>'4.28'!$D$8</f>
        <v>0</v>
      </c>
      <c r="K32" s="19">
        <f>'4.28'!$H$9+'4.28'!$G$9+'4.28'!$T$9+'4.28'!$AE$9</f>
        <v>0</v>
      </c>
      <c r="L32" s="17">
        <f>IF(E32&gt;0,'4.28'!$P$9,IF(E32&lt;=0,0))</f>
        <v>0</v>
      </c>
      <c r="M32" s="18">
        <f>'4.28'!$AR$8</f>
        <v>0</v>
      </c>
      <c r="N32" s="18">
        <f>'4.28'!$AR$10</f>
        <v>0</v>
      </c>
      <c r="O32" s="18">
        <f t="shared" si="0"/>
        <v>0</v>
      </c>
      <c r="P32" s="18">
        <f>IF(E32&gt;0,('4.28'!$K$9+'4.28'!$U$9+'4.28'!$AF$9+'4.28'!$AK$6+'4.28'!$AK$9+'4.28'!$AK$12),IF(E32&lt;=0,0))</f>
        <v>0</v>
      </c>
      <c r="Q32" s="18">
        <f>IF(E32&gt;0,'4.28'!$Z$9,IF(E32&lt;=0,0))</f>
        <v>0</v>
      </c>
      <c r="R32" s="19">
        <f t="shared" si="1"/>
        <v>0</v>
      </c>
      <c r="S32" s="17">
        <f>'4.28'!$S$19</f>
        <v>0</v>
      </c>
      <c r="T32" s="18">
        <f>'4.28'!$S$23</f>
        <v>0</v>
      </c>
      <c r="U32" s="19">
        <f>'4.28'!$S$26</f>
        <v>0</v>
      </c>
    </row>
    <row r="33" spans="1:21">
      <c r="A33" s="16">
        <v>29</v>
      </c>
      <c r="B33" s="17">
        <f>IF(E33&gt;0,'4.29'!$O$19,IF(E33&lt;=0,0))</f>
        <v>0</v>
      </c>
      <c r="C33" s="18">
        <f>IF(E33&gt;0,'4.29'!$Q$23,IF(E33&lt;=0,0))</f>
        <v>0</v>
      </c>
      <c r="D33" s="19">
        <f>IF(E33&gt;0,'4.29'!$O$26,IF(E33&lt;=0,0))</f>
        <v>0</v>
      </c>
      <c r="E33" s="17">
        <f>'4.29'!$A$11</f>
        <v>0</v>
      </c>
      <c r="F33" s="18">
        <f>'4.29'!$D$6+'4.29'!$AI$6+'4.29'!$AI$9+'4.29'!$AI$12</f>
        <v>0</v>
      </c>
      <c r="G33" s="18">
        <f>'4.29'!$C$7</f>
        <v>0</v>
      </c>
      <c r="H33" s="18">
        <f>'4.29'!$D$7</f>
        <v>0</v>
      </c>
      <c r="I33" s="18">
        <f>'4.29'!$C$8</f>
        <v>0</v>
      </c>
      <c r="J33" s="18">
        <f>'4.29'!$D$8</f>
        <v>0</v>
      </c>
      <c r="K33" s="19">
        <f>'4.29'!$H$9+'4.29'!$G$9+'4.29'!$T$9+'4.29'!$AE$9</f>
        <v>0</v>
      </c>
      <c r="L33" s="17">
        <f>IF(E33&gt;0,'4.29'!$P$9,IF(E33&lt;=0,0))</f>
        <v>0</v>
      </c>
      <c r="M33" s="18">
        <f>'4.29'!$AR$8</f>
        <v>0</v>
      </c>
      <c r="N33" s="18">
        <f>'4.29'!$AR$10</f>
        <v>0</v>
      </c>
      <c r="O33" s="18">
        <f t="shared" si="0"/>
        <v>0</v>
      </c>
      <c r="P33" s="18">
        <f>IF(E33&gt;0,('4.29'!$K$9+'4.29'!$U$9+'4.29'!$AF$9+'4.29'!$AK$6+'4.29'!$AK$9+'4.29'!$AK$12),IF(E33&lt;=0,0))</f>
        <v>0</v>
      </c>
      <c r="Q33" s="18">
        <f>IF(E33&gt;0,'4.29'!$Z$9,IF(E33&lt;=0,0))</f>
        <v>0</v>
      </c>
      <c r="R33" s="19">
        <f t="shared" si="1"/>
        <v>0</v>
      </c>
      <c r="S33" s="17">
        <f>'4.29'!$S$19</f>
        <v>0</v>
      </c>
      <c r="T33" s="18">
        <f>'4.29'!$S$23</f>
        <v>0</v>
      </c>
      <c r="U33" s="19">
        <f>'4.29'!$S$26</f>
        <v>0</v>
      </c>
    </row>
    <row r="34" spans="1:21">
      <c r="A34" s="16">
        <v>30</v>
      </c>
      <c r="B34" s="17">
        <f>IF(E34&gt;0,'4.30'!$O$19,IF(E34&lt;=0,0))</f>
        <v>0</v>
      </c>
      <c r="C34" s="18">
        <f>IF(E34&gt;0,'4.30'!$Q$23,IF(E34&lt;=0,0))</f>
        <v>0</v>
      </c>
      <c r="D34" s="19">
        <f>IF(E34&gt;0,'4.30'!$O$26,IF(E34&lt;=0,0))</f>
        <v>0</v>
      </c>
      <c r="E34" s="17">
        <f>'4.30'!$A$11</f>
        <v>0</v>
      </c>
      <c r="F34" s="18">
        <f>'4.30'!$D$6+'4.30'!$AI$6+'4.30'!$AI$9+'4.30'!$AI$12</f>
        <v>0</v>
      </c>
      <c r="G34" s="18">
        <f>'4.30'!$C$7</f>
        <v>0</v>
      </c>
      <c r="H34" s="18">
        <f>'4.30'!$D$7</f>
        <v>0</v>
      </c>
      <c r="I34" s="18">
        <f>'4.30'!$C$8</f>
        <v>0</v>
      </c>
      <c r="J34" s="18">
        <f>'4.30'!$D$8</f>
        <v>0</v>
      </c>
      <c r="K34" s="19">
        <f>'4.30'!$H$9+'4.30'!$G$9+'4.30'!$T$9+'4.30'!$AE$9</f>
        <v>0</v>
      </c>
      <c r="L34" s="17">
        <f>IF(E34&gt;0,'4.30'!$P$9,IF(E34&lt;=0,0))</f>
        <v>0</v>
      </c>
      <c r="M34" s="18">
        <f>'4.30'!$AR$8</f>
        <v>0</v>
      </c>
      <c r="N34" s="18">
        <f>'4.30'!$AR$10</f>
        <v>0</v>
      </c>
      <c r="O34" s="18">
        <f t="shared" si="0"/>
        <v>0</v>
      </c>
      <c r="P34" s="18">
        <f>IF(E34&gt;0,('4.30'!$K$9+'4.30'!$U$9+'4.30'!$AF$9+'4.30'!$AK$6+'4.30'!$AK$9+'4.30'!$AK$12),IF(E34&lt;=0,0))</f>
        <v>0</v>
      </c>
      <c r="Q34" s="18">
        <f>IF(E34&gt;0,'4.30'!$Z$9,IF(E34&lt;=0,0))</f>
        <v>0</v>
      </c>
      <c r="R34" s="19">
        <f t="shared" si="1"/>
        <v>0</v>
      </c>
      <c r="S34" s="17">
        <f>'4.30'!$S$19</f>
        <v>0</v>
      </c>
      <c r="T34" s="18">
        <f>'4.30'!$S$23</f>
        <v>0</v>
      </c>
      <c r="U34" s="19">
        <f>'4.30'!$S$26</f>
        <v>0</v>
      </c>
    </row>
    <row r="35" spans="1:21" hidden="1">
      <c r="A35" s="16">
        <v>31</v>
      </c>
      <c r="B35" s="17">
        <f>IF(E35&gt;0,'4.31'!$O$19,IF(E35&lt;=0,0))</f>
        <v>0</v>
      </c>
      <c r="C35" s="18">
        <f>IF(E35&gt;0,'4.31'!$Q$23,IF(E35&lt;=0,0))</f>
        <v>0</v>
      </c>
      <c r="D35" s="19">
        <f>IF(E35&gt;0,'4.31'!$O$26,IF(E35&lt;=0,0))</f>
        <v>0</v>
      </c>
      <c r="E35" s="17">
        <f>'4.31'!$A$11</f>
        <v>0</v>
      </c>
      <c r="F35" s="18">
        <f>'4.31'!$D$6+'4.31'!$AI$6+'4.31'!$AI$9+'4.31'!$AI$12</f>
        <v>0</v>
      </c>
      <c r="G35" s="18">
        <f>'4.31'!$C$7</f>
        <v>0</v>
      </c>
      <c r="H35" s="18">
        <f>'4.31'!$D$7</f>
        <v>0</v>
      </c>
      <c r="I35" s="18">
        <f>'4.31'!$C$8</f>
        <v>0</v>
      </c>
      <c r="J35" s="18">
        <f>'4.31'!$D$8</f>
        <v>0</v>
      </c>
      <c r="K35" s="19">
        <f>'4.31'!$H$9+'4.31'!$G$9+'4.31'!$T$9+'4.31'!$AE$9</f>
        <v>0</v>
      </c>
      <c r="L35" s="17">
        <f>IF(E35&gt;0,'4.31'!$P$9,IF(E35&lt;=0,0))</f>
        <v>0</v>
      </c>
      <c r="M35" s="18">
        <f>'4.31'!$AR$8</f>
        <v>0</v>
      </c>
      <c r="N35" s="18">
        <f>'4.31'!$AR$10</f>
        <v>0</v>
      </c>
      <c r="O35" s="18">
        <f t="shared" si="0"/>
        <v>0</v>
      </c>
      <c r="P35" s="18">
        <f>IF(E35&gt;0,('4.31'!$K$9+'4.31'!$U$9+'4.31'!$AF$9+'4.31'!$AK$6+'4.31'!$AK$9+'4.31'!$AK$12),IF(E35&lt;=0,0))</f>
        <v>0</v>
      </c>
      <c r="Q35" s="18">
        <f>IF(E35&gt;0,'4.31'!$Z$9,IF(E35&lt;=0,0))</f>
        <v>0</v>
      </c>
      <c r="R35" s="19">
        <f t="shared" si="1"/>
        <v>0</v>
      </c>
      <c r="S35" s="17">
        <f>'4.31'!$S$19</f>
        <v>0</v>
      </c>
      <c r="T35" s="18">
        <f>'4.31'!$S$23</f>
        <v>0</v>
      </c>
      <c r="U35" s="19">
        <f>'4.31'!$S$26</f>
        <v>0</v>
      </c>
    </row>
    <row r="36" spans="1:21">
      <c r="A36" s="20" t="s">
        <v>308</v>
      </c>
      <c r="B36" s="21">
        <f>SUM(B5:B35)</f>
        <v>64491.45</v>
      </c>
      <c r="C36" s="22">
        <f t="shared" ref="C36:K36" si="2">SUM(C5:C35)</f>
        <v>55507.57</v>
      </c>
      <c r="D36" s="23">
        <f t="shared" si="2"/>
        <v>4580.2700000000004</v>
      </c>
      <c r="E36" s="21">
        <f t="shared" si="2"/>
        <v>668521.16</v>
      </c>
      <c r="F36" s="22">
        <f t="shared" si="2"/>
        <v>75982.429999999993</v>
      </c>
      <c r="G36" s="22">
        <f t="shared" si="2"/>
        <v>198425.55</v>
      </c>
      <c r="H36" s="22">
        <f t="shared" si="2"/>
        <v>0</v>
      </c>
      <c r="I36" s="22">
        <f t="shared" si="2"/>
        <v>2001.4</v>
      </c>
      <c r="J36" s="22">
        <f t="shared" si="2"/>
        <v>0</v>
      </c>
      <c r="K36" s="23">
        <f t="shared" si="2"/>
        <v>1099.17</v>
      </c>
      <c r="L36" s="24"/>
      <c r="M36" s="25"/>
      <c r="N36" s="25"/>
      <c r="O36" s="25"/>
      <c r="P36" s="25"/>
      <c r="Q36" s="25"/>
      <c r="R36" s="25"/>
      <c r="S36" s="25"/>
      <c r="T36" s="25"/>
      <c r="U36" s="26"/>
    </row>
  </sheetData>
  <mergeCells count="10">
    <mergeCell ref="A1:U1"/>
    <mergeCell ref="B2:D2"/>
    <mergeCell ref="E2:K2"/>
    <mergeCell ref="M2:O2"/>
    <mergeCell ref="S2:U2"/>
    <mergeCell ref="A2:A4"/>
    <mergeCell ref="L2:L3"/>
    <mergeCell ref="P2:P3"/>
    <mergeCell ref="Q2:Q3"/>
    <mergeCell ref="R2:R3"/>
  </mergeCells>
  <phoneticPr fontId="2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S36"/>
  <sheetViews>
    <sheetView workbookViewId="0">
      <selection sqref="A1:AS26"/>
    </sheetView>
  </sheetViews>
  <sheetFormatPr defaultColWidth="9" defaultRowHeight="13.5"/>
  <cols>
    <col min="8" max="8" width="11" customWidth="1"/>
    <col min="9" max="9" width="12.125" customWidth="1"/>
    <col min="10" max="10" width="10.75" customWidth="1"/>
    <col min="11" max="11" width="11.25" customWidth="1"/>
    <col min="34" max="34" width="10" customWidth="1"/>
  </cols>
  <sheetData>
    <row r="1" spans="1:45" ht="22.5">
      <c r="A1" s="1" t="s">
        <v>320</v>
      </c>
      <c r="AO1" s="11"/>
    </row>
    <row r="2" spans="1:45">
      <c r="A2" s="2">
        <v>12.1</v>
      </c>
      <c r="C2" s="2">
        <v>4.0999999999999996</v>
      </c>
    </row>
    <row r="3" spans="1:45">
      <c r="A3" s="2">
        <v>12.2</v>
      </c>
      <c r="C3" s="2">
        <v>4.2</v>
      </c>
    </row>
    <row r="4" spans="1:45">
      <c r="A4" s="2">
        <v>12.3</v>
      </c>
      <c r="C4" s="2">
        <v>3.3</v>
      </c>
      <c r="V4" s="4"/>
    </row>
    <row r="5" spans="1:45">
      <c r="A5" s="2">
        <v>12.4</v>
      </c>
      <c r="C5" s="2">
        <v>3.4</v>
      </c>
      <c r="Z5" s="4"/>
      <c r="AA5" s="4"/>
      <c r="AC5" s="4"/>
      <c r="AD5" s="4"/>
      <c r="AF5" s="4"/>
      <c r="AG5" s="4"/>
      <c r="AI5" s="4"/>
      <c r="AJ5" s="4"/>
    </row>
    <row r="6" spans="1:45">
      <c r="A6" s="2">
        <v>12.5</v>
      </c>
      <c r="C6" s="2">
        <v>3.5</v>
      </c>
    </row>
    <row r="7" spans="1:45">
      <c r="A7" s="2">
        <v>12.6</v>
      </c>
      <c r="C7" s="2">
        <v>3.6</v>
      </c>
    </row>
    <row r="8" spans="1:45">
      <c r="A8" s="2">
        <v>12.7</v>
      </c>
      <c r="C8" s="2">
        <v>3.7</v>
      </c>
    </row>
    <row r="9" spans="1:45">
      <c r="A9" s="2">
        <v>12.8</v>
      </c>
      <c r="C9" s="2">
        <v>3.8</v>
      </c>
    </row>
    <row r="10" spans="1:45">
      <c r="A10" s="2">
        <v>12.9</v>
      </c>
      <c r="C10" s="2">
        <v>3.9</v>
      </c>
      <c r="I10" s="4"/>
      <c r="J10" s="4"/>
      <c r="R10" s="4"/>
      <c r="S10" s="4"/>
      <c r="T10" s="4"/>
      <c r="U10" s="4"/>
    </row>
    <row r="11" spans="1:45">
      <c r="A11" s="3" t="s">
        <v>321</v>
      </c>
      <c r="C11" s="3" t="s">
        <v>322</v>
      </c>
      <c r="AM11" s="4"/>
      <c r="AN11" s="10"/>
      <c r="AO11" s="10"/>
      <c r="AP11" s="10"/>
      <c r="AQ11" s="10"/>
      <c r="AR11" s="12"/>
      <c r="AS11" s="12"/>
    </row>
    <row r="12" spans="1:45">
      <c r="A12" s="3" t="s">
        <v>198</v>
      </c>
      <c r="C12" s="3" t="s">
        <v>323</v>
      </c>
      <c r="AM12" s="4"/>
      <c r="AN12" s="10"/>
      <c r="AO12" s="10"/>
      <c r="AP12" s="10"/>
      <c r="AQ12" s="10"/>
      <c r="AR12" s="12"/>
      <c r="AS12" s="12"/>
    </row>
    <row r="13" spans="1:45">
      <c r="A13" s="2">
        <v>12.11</v>
      </c>
      <c r="C13" s="2">
        <v>4.1100000000000003</v>
      </c>
      <c r="F13" s="4"/>
      <c r="O13" s="4"/>
      <c r="Z13" s="4"/>
      <c r="AA13" s="4"/>
      <c r="AC13" s="4"/>
      <c r="AD13" s="4"/>
      <c r="AF13" s="4"/>
      <c r="AG13" s="4"/>
      <c r="AI13" s="4"/>
      <c r="AJ13" s="4"/>
    </row>
    <row r="14" spans="1:45">
      <c r="A14" s="2">
        <v>12.12</v>
      </c>
      <c r="C14" s="2">
        <v>4.12</v>
      </c>
      <c r="O14" s="4"/>
      <c r="AN14" s="10"/>
    </row>
    <row r="15" spans="1:45">
      <c r="A15" s="2">
        <v>12.13</v>
      </c>
      <c r="C15" s="2">
        <v>3.13</v>
      </c>
      <c r="X15" s="9"/>
      <c r="Y15" s="9"/>
    </row>
    <row r="16" spans="1:45">
      <c r="A16" s="2">
        <v>12.14</v>
      </c>
      <c r="C16" s="2">
        <v>3.14</v>
      </c>
      <c r="AO16" s="4"/>
    </row>
    <row r="17" spans="1:41">
      <c r="A17" s="2">
        <v>12.15</v>
      </c>
      <c r="C17" s="2">
        <v>3.15</v>
      </c>
    </row>
    <row r="18" spans="1:41">
      <c r="A18" s="2">
        <v>12.16</v>
      </c>
      <c r="C18" s="2">
        <v>3.16</v>
      </c>
      <c r="AO18" s="4"/>
    </row>
    <row r="19" spans="1:41" ht="15.75" customHeight="1">
      <c r="A19" s="2">
        <v>12.17</v>
      </c>
      <c r="C19" s="2">
        <v>3.17</v>
      </c>
      <c r="I19" s="4"/>
      <c r="J19" s="7"/>
      <c r="K19" s="8"/>
    </row>
    <row r="20" spans="1:41">
      <c r="A20" s="2">
        <v>12.18</v>
      </c>
      <c r="C20" s="2">
        <v>3.18</v>
      </c>
      <c r="I20" s="2"/>
      <c r="J20" s="2"/>
      <c r="K20" s="2"/>
    </row>
    <row r="21" spans="1:41">
      <c r="A21" s="2">
        <v>12.19</v>
      </c>
      <c r="C21" s="2">
        <v>3.19</v>
      </c>
      <c r="I21" s="2"/>
      <c r="J21" s="2"/>
      <c r="K21" s="2"/>
    </row>
    <row r="22" spans="1:41">
      <c r="A22" s="3" t="s">
        <v>324</v>
      </c>
      <c r="C22" s="3" t="s">
        <v>325</v>
      </c>
      <c r="F22" s="4"/>
      <c r="I22" s="2"/>
      <c r="J22" s="2"/>
      <c r="K22" s="2"/>
      <c r="N22" s="4"/>
      <c r="O22" s="4"/>
      <c r="P22" s="4"/>
      <c r="Q22" s="4"/>
      <c r="T22" s="4"/>
      <c r="U22" s="4"/>
      <c r="V22" s="4"/>
      <c r="W22" s="4"/>
      <c r="Z22" s="4"/>
      <c r="AA22" s="4"/>
      <c r="AB22" s="4"/>
      <c r="AC22" s="4"/>
      <c r="AF22" s="4"/>
      <c r="AG22" s="4"/>
      <c r="AH22" s="4"/>
      <c r="AI22" s="4"/>
      <c r="AL22" s="4"/>
    </row>
    <row r="23" spans="1:41">
      <c r="A23" s="3" t="s">
        <v>250</v>
      </c>
      <c r="C23" s="3" t="s">
        <v>326</v>
      </c>
      <c r="F23" s="4"/>
      <c r="I23" s="2"/>
      <c r="J23" s="2"/>
      <c r="K23" s="2"/>
      <c r="N23" s="4"/>
      <c r="O23" s="4"/>
      <c r="P23" s="4"/>
      <c r="Q23" s="4"/>
      <c r="T23" s="4"/>
      <c r="U23" s="4"/>
      <c r="V23" s="4"/>
      <c r="W23" s="4"/>
      <c r="Z23" s="4"/>
      <c r="AA23" s="4"/>
      <c r="AB23" s="4"/>
      <c r="AC23" s="4"/>
      <c r="AF23" s="4"/>
      <c r="AG23" s="4"/>
      <c r="AH23" s="4"/>
      <c r="AI23" s="4"/>
      <c r="AL23" s="4"/>
    </row>
    <row r="24" spans="1:41">
      <c r="A24" s="2">
        <v>12.21</v>
      </c>
      <c r="C24" s="2">
        <v>4.21</v>
      </c>
      <c r="I24" s="2"/>
      <c r="J24" s="2"/>
      <c r="K24" s="2"/>
    </row>
    <row r="25" spans="1:41">
      <c r="A25" s="2">
        <v>12.22</v>
      </c>
      <c r="C25" s="2">
        <v>4.22</v>
      </c>
      <c r="I25" s="2"/>
      <c r="J25" s="2"/>
      <c r="K25" s="2"/>
    </row>
    <row r="26" spans="1:41">
      <c r="A26" s="2">
        <v>12.23</v>
      </c>
      <c r="C26" s="2">
        <v>3.23</v>
      </c>
      <c r="I26" s="2"/>
      <c r="J26" s="2"/>
      <c r="K26" s="2"/>
    </row>
    <row r="27" spans="1:41">
      <c r="A27" s="2">
        <v>12.24</v>
      </c>
      <c r="C27" s="2">
        <v>3.24</v>
      </c>
      <c r="I27" s="2"/>
      <c r="J27" s="2"/>
      <c r="K27" s="2"/>
    </row>
    <row r="28" spans="1:41">
      <c r="A28" s="2">
        <v>12.25</v>
      </c>
      <c r="C28" s="2">
        <v>3.25</v>
      </c>
      <c r="I28" s="2"/>
      <c r="J28" s="2"/>
      <c r="K28" s="2"/>
    </row>
    <row r="29" spans="1:41">
      <c r="A29" s="2">
        <v>12.26</v>
      </c>
      <c r="C29" s="2">
        <v>3.26</v>
      </c>
    </row>
    <row r="30" spans="1:41">
      <c r="A30" s="2">
        <v>12.27</v>
      </c>
      <c r="C30" s="2">
        <v>3.27</v>
      </c>
    </row>
    <row r="31" spans="1:41">
      <c r="A31" s="2">
        <v>12.28</v>
      </c>
      <c r="C31" s="2">
        <v>3.28</v>
      </c>
    </row>
    <row r="32" spans="1:41">
      <c r="A32" s="2">
        <v>12.29</v>
      </c>
      <c r="C32" s="2">
        <v>3.29</v>
      </c>
    </row>
    <row r="33" spans="1:38">
      <c r="A33" s="5" t="s">
        <v>327</v>
      </c>
      <c r="C33" s="3" t="s">
        <v>328</v>
      </c>
      <c r="N33" s="4"/>
      <c r="O33" s="4"/>
      <c r="P33" s="4"/>
      <c r="Q33" s="4"/>
      <c r="T33" s="4"/>
      <c r="U33" s="4"/>
      <c r="V33" s="4"/>
      <c r="W33" s="4"/>
      <c r="Z33" s="4"/>
      <c r="AA33" s="4"/>
      <c r="AB33" s="4"/>
      <c r="AC33" s="4"/>
      <c r="AF33" s="4"/>
      <c r="AG33" s="4"/>
      <c r="AH33" s="4"/>
      <c r="AI33" s="4"/>
      <c r="AL33" s="4"/>
    </row>
    <row r="34" spans="1:38">
      <c r="A34" s="2">
        <v>12.31</v>
      </c>
      <c r="C34" s="6">
        <v>4.3099999999999996</v>
      </c>
    </row>
    <row r="35" spans="1:38">
      <c r="A35" t="s">
        <v>254</v>
      </c>
      <c r="B35" s="2"/>
      <c r="C35" s="2" t="s">
        <v>329</v>
      </c>
    </row>
    <row r="36" spans="1:38">
      <c r="A36" s="6" t="s">
        <v>256</v>
      </c>
      <c r="C36" s="6" t="s">
        <v>330</v>
      </c>
    </row>
  </sheetData>
  <sheetProtection formatCells="0" formatColumns="0" formatRows="0"/>
  <phoneticPr fontId="23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  <rangeList sheetStid="22" master="" otherUserPermission="visible"/>
  <rangeList sheetStid="23" master="" otherUserPermission="visible"/>
  <rangeList sheetStid="24" master="" otherUserPermission="visible"/>
  <rangeList sheetStid="46" master="" otherUserPermission="visible"/>
  <rangeList sheetStid="25" master="" otherUserPermission="visible"/>
  <rangeList sheetStid="26" master="" otherUserPermission="visible"/>
  <rangeList sheetStid="27" master="" otherUserPermission="visible"/>
  <rangeList sheetStid="28" master="" otherUserPermission="visible"/>
  <rangeList sheetStid="2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47" master="" otherUserPermission="visible"/>
  <rangeList sheetStid="35" master="" otherUserPermission="visible"/>
  <rangeList sheetStid="36" master="" otherUserPermission="visible"/>
  <rangeList sheetStid="37" master="" otherUserPermission="visible"/>
  <rangeList sheetStid="38" master="" otherUserPermission="visible"/>
  <rangeList sheetStid="39" master="" otherUserPermission="visible"/>
  <rangeList sheetStid="40" master="" otherUserPermission="visible"/>
  <rangeList sheetStid="41" master="" otherUserPermission="visible"/>
  <rangeList sheetStid="42" master="" otherUserPermission="visible"/>
  <rangeList sheetStid="43" master="" otherUserPermission="visible"/>
  <rangeList sheetStid="44" master="" otherUserPermission="visible"/>
  <rangeList sheetStid="45" master="" otherUserPermission="visible"/>
  <rangeList sheetStid="48" master="" otherUserPermission="visible"/>
  <rangeList sheetStid="49" master="" otherUserPermission="visible"/>
  <rangeList sheetStid="51" master="" otherUserPermission="visible"/>
  <rangeList sheetStid="5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上旬汇总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中旬汇总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下旬汇总</vt:lpstr>
      <vt:lpstr>月汇总</vt:lpstr>
      <vt:lpstr>销售简报</vt:lpstr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2024-06-01T01:31:00Z</dcterms:created>
  <dcterms:modified xsi:type="dcterms:W3CDTF">2025-04-23T00:17:42Z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2FB9BB7819F3476687F41BA2D298E985_12</vt:lpwstr>
  </property>
  <property fmtid="{D5CDD505-2E9C-101B-9397-08002B2CF9AE}" pid="3" name="KSOProductBuildVer">
    <vt:lpwstr>2052-12.1.0.20784</vt:lpwstr>
  </property>
</Properties>
</file>